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60.197\Dati\Dipendenti\Brambilla_Giada\AMM. TRASPARENTE\2025\"/>
    </mc:Choice>
  </mc:AlternateContent>
  <bookViews>
    <workbookView xWindow="0" yWindow="0" windowWidth="28800" windowHeight="12435"/>
  </bookViews>
  <sheets>
    <sheet name="2024" sheetId="1" r:id="rId1"/>
    <sheet name="2023" sheetId="2" r:id="rId2"/>
    <sheet name="2022" sheetId="3" r:id="rId3"/>
    <sheet name="2021" sheetId="4" r:id="rId4"/>
    <sheet name="2020" sheetId="5" r:id="rId5"/>
    <sheet name="2019" sheetId="6" r:id="rId6"/>
  </sheets>
  <definedNames>
    <definedName name="_xlnm._FilterDatabase" localSheetId="1" hidden="1">'2023'!$A$1:$M$1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5" l="1"/>
  <c r="M3" i="5"/>
  <c r="M4" i="4"/>
  <c r="M5" i="4"/>
  <c r="M6" i="4"/>
  <c r="M3" i="4"/>
  <c r="M4" i="3"/>
  <c r="M5" i="3"/>
  <c r="M6" i="3"/>
  <c r="M7" i="3"/>
  <c r="M8" i="3"/>
  <c r="M9" i="3"/>
  <c r="M10" i="3"/>
  <c r="M11" i="3"/>
  <c r="M12" i="3"/>
  <c r="M13" i="3"/>
  <c r="M14" i="3"/>
  <c r="M15" i="3"/>
  <c r="M3" i="3"/>
  <c r="L15" i="3"/>
  <c r="L14" i="3"/>
  <c r="L13" i="3"/>
  <c r="L12" i="3"/>
  <c r="L11" i="3"/>
  <c r="L10" i="3"/>
  <c r="L9" i="3"/>
  <c r="L8" i="3"/>
  <c r="L6" i="3"/>
  <c r="L5" i="3"/>
  <c r="L4" i="3"/>
  <c r="L3" i="3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3" i="2"/>
  <c r="L46" i="2"/>
  <c r="L45" i="2"/>
  <c r="L41" i="2"/>
  <c r="L31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I5" i="1" l="1"/>
  <c r="I6" i="1"/>
  <c r="I7" i="1"/>
  <c r="I9" i="1"/>
  <c r="I10" i="1"/>
  <c r="I12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52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H53" i="1"/>
  <c r="I53" i="1" s="1"/>
  <c r="H51" i="1"/>
  <c r="I51" i="1" s="1"/>
  <c r="H50" i="1"/>
  <c r="I50" i="1" s="1"/>
  <c r="H49" i="1"/>
  <c r="I49" i="1" s="1"/>
  <c r="H47" i="1"/>
  <c r="I47" i="1" s="1"/>
  <c r="H20" i="1"/>
  <c r="I20" i="1" s="1"/>
  <c r="H13" i="1"/>
  <c r="I13" i="1" s="1"/>
  <c r="H11" i="1"/>
  <c r="I11" i="1" s="1"/>
  <c r="H8" i="1"/>
  <c r="I8" i="1" s="1"/>
  <c r="H4" i="1"/>
  <c r="I4" i="1" s="1"/>
  <c r="H3" i="1"/>
  <c r="I3" i="1" s="1"/>
</calcChain>
</file>

<file path=xl/sharedStrings.xml><?xml version="1.0" encoding="utf-8"?>
<sst xmlns="http://schemas.openxmlformats.org/spreadsheetml/2006/main" count="612" uniqueCount="394">
  <si>
    <t>INTESTATARIO</t>
  </si>
  <si>
    <t>P. IVA</t>
  </si>
  <si>
    <t>CIG</t>
  </si>
  <si>
    <t>MOTIVAZIONE</t>
  </si>
  <si>
    <t>IMPORTO RICHIESTO</t>
  </si>
  <si>
    <t>data richiesta</t>
  </si>
  <si>
    <t>data chiusura</t>
  </si>
  <si>
    <t>importo fatture ricevute</t>
  </si>
  <si>
    <t>fontana autoservizi</t>
  </si>
  <si>
    <t>B04D80096A</t>
  </si>
  <si>
    <t>attivazione servizio di tasporto a favore di minori partecipanti al progetto shakespeare'buddies</t>
  </si>
  <si>
    <t>melli luciano snc</t>
  </si>
  <si>
    <t> B04D79D7B8</t>
  </si>
  <si>
    <t> servizi di manutenzione presso centro diurno di Collecchio e sede aziendale e appartamento</t>
  </si>
  <si>
    <t>ilga hotel</t>
  </si>
  <si>
    <t>B04D70D0E5</t>
  </si>
  <si>
    <t>servizio di pernottamento per una famiglia in emergenza</t>
  </si>
  <si>
    <t>il giardino coop</t>
  </si>
  <si>
    <t>avv. Grillo silvia maria</t>
  </si>
  <si>
    <t>B092E560A5</t>
  </si>
  <si>
    <t>Affidamento di incarico professionale di consulenza legale per il centro delle famiglie sud-est</t>
  </si>
  <si>
    <t>lasse coop</t>
  </si>
  <si>
    <t>B092EDE0E0</t>
  </si>
  <si>
    <t>montenero srl</t>
  </si>
  <si>
    <t>B0CD634DF3</t>
  </si>
  <si>
    <t>B0CD5F9D43</t>
  </si>
  <si>
    <t>dondi ciro</t>
  </si>
  <si>
    <t>B0E93C1C11</t>
  </si>
  <si>
    <t>manutenzione cd montech</t>
  </si>
  <si>
    <t>B01EE0D8FAA</t>
  </si>
  <si>
    <t xml:space="preserve">MEZZI ATTREZZATI PER DISABILI </t>
  </si>
  <si>
    <t xml:space="preserve">
B11278B5B7</t>
  </si>
  <si>
    <t>Manutenzione impianti termici e di climatizzazione degli immobili</t>
  </si>
  <si>
    <t>forsafe srl</t>
  </si>
  <si>
    <t>B1163E85EF</t>
  </si>
  <si>
    <t>Affidamento corsi di formazione ed aggiornamento del personale in ambito primo soccorso e anticendio</t>
  </si>
  <si>
    <t>B1381D18B9</t>
  </si>
  <si>
    <t>Acquisto sedia d'ufficio</t>
  </si>
  <si>
    <t xml:space="preserve"> B19F0FC1F3</t>
  </si>
  <si>
    <t>LOGHI AZIENDALI PER TAXI SOCIALE DI COLLECCHIO E DI FELINO</t>
  </si>
  <si>
    <t>Castagnetti stefano</t>
  </si>
  <si>
    <t>B085D59A36</t>
  </si>
  <si>
    <t>corso di formazione in materia di protezione civile</t>
  </si>
  <si>
    <t>B0126D2CC0</t>
  </si>
  <si>
    <t>Acquisto frigorifero</t>
  </si>
  <si>
    <t>candi alessia</t>
  </si>
  <si>
    <t>B1382B440E</t>
  </si>
  <si>
    <t>Incarico professionale attività formatrice Haccp</t>
  </si>
  <si>
    <t>carrozzeria fb</t>
  </si>
  <si>
    <t xml:space="preserve"> B19F072012</t>
  </si>
  <si>
    <t>MANUTENZIONE FIAT DUCATO COLLECCHIO</t>
  </si>
  <si>
    <t>B116414A3D</t>
  </si>
  <si>
    <t>tedaldi lara</t>
  </si>
  <si>
    <t xml:space="preserve">
B0FD232555</t>
  </si>
  <si>
    <t xml:space="preserve">consulenza legale per il centro per le famiglie </t>
  </si>
  <si>
    <t>molinetto coop</t>
  </si>
  <si>
    <t>B1AAA32936</t>
  </si>
  <si>
    <t>Manutenziona caldaia alloggio Acer Dopo di Noi</t>
  </si>
  <si>
    <t>tosi avv marianna</t>
  </si>
  <si>
    <t>B16A0F83F6</t>
  </si>
  <si>
    <t>B1965F6825</t>
  </si>
  <si>
    <t>Corso aggiornamento sicurezza sul lavoro</t>
  </si>
  <si>
    <t>world in progress</t>
  </si>
  <si>
    <t>B169DD3BA5</t>
  </si>
  <si>
    <t>Servizio trasloco sedie Centro diurno Montechiarugolo</t>
  </si>
  <si>
    <t>cpo mobility</t>
  </si>
  <si>
    <t>B1CD3C3A7A</t>
  </si>
  <si>
    <t>riparazione bascule cd montechiarugolo</t>
  </si>
  <si>
    <t>B1CD3F7565</t>
  </si>
  <si>
    <t>Margherita aicha</t>
  </si>
  <si>
    <t>B1D45BA674</t>
  </si>
  <si>
    <t>Pulizie straordinarie via Monzato Traversetolo</t>
  </si>
  <si>
    <t>baldini ilaria</t>
  </si>
  <si>
    <t>B19661F9FA</t>
  </si>
  <si>
    <t>Affidamento psicologa progetto avengers</t>
  </si>
  <si>
    <t>til srl</t>
  </si>
  <si>
    <t>B1D4647ACE</t>
  </si>
  <si>
    <t xml:space="preserve">Noleggio bus per gita lungomare anziani </t>
  </si>
  <si>
    <t>B1F4B30C26</t>
  </si>
  <si>
    <t>Proroga inserimetno in struttura di minore</t>
  </si>
  <si>
    <t>barbuti francesca</t>
  </si>
  <si>
    <t>B20F9D3B8D</t>
  </si>
  <si>
    <t>Consulenza legale Centro per le famiglia</t>
  </si>
  <si>
    <t>B239CC4640</t>
  </si>
  <si>
    <t xml:space="preserve">affidamento del servizio di analisi microbiologiche su tamponi ambientali e di potabilità dell'acqua presso centri diurni di Collecchio, Basilicanova e Traversetolo </t>
  </si>
  <si>
    <t>B28CA9A38C</t>
  </si>
  <si>
    <t>Progetto “Shakespeare’s Buddies”- servizio di trasporto - integrazione</t>
  </si>
  <si>
    <t>B086CAE13C</t>
  </si>
  <si>
    <t>Parola di donne</t>
  </si>
  <si>
    <t>B0CD648E74</t>
  </si>
  <si>
    <t>Acquisto di un personal computer a favore della casa donne di Collecchio</t>
  </si>
  <si>
    <t>enigma</t>
  </si>
  <si>
    <t>B23DA424F6</t>
  </si>
  <si>
    <t>Erogazione contributo straoridnario Associazione Enigma per "Festival in Sal8"</t>
  </si>
  <si>
    <t>help for children</t>
  </si>
  <si>
    <t>B27F72C95A</t>
  </si>
  <si>
    <t>Preogetto ospitalità bambini bielorussi</t>
  </si>
  <si>
    <t>savi rosanna emporio casa</t>
  </si>
  <si>
    <t>B25D54F370</t>
  </si>
  <si>
    <t>Acquisto materassi e cuscini casa donne Collecchio</t>
  </si>
  <si>
    <t>madamadorè</t>
  </si>
  <si>
    <t>B219674CA4</t>
  </si>
  <si>
    <t>Provvedimento affido eterofamiliare a tempo pieno in comunita familiare</t>
  </si>
  <si>
    <t>palumbo alessandra</t>
  </si>
  <si>
    <t>B2D3627C8F</t>
  </si>
  <si>
    <t>Consulenza legale CxF Palumbo</t>
  </si>
  <si>
    <t>B11643664D</t>
  </si>
  <si>
    <t>Realizzazione ginnastica al domicilio residenziale nei centri diurni aziendali</t>
  </si>
  <si>
    <t>aiello angela</t>
  </si>
  <si>
    <t>B2D365A6A7</t>
  </si>
  <si>
    <t>Consulenza legale CxF Aiello</t>
  </si>
  <si>
    <t>pb servizi</t>
  </si>
  <si>
    <t>B206EF1F75</t>
  </si>
  <si>
    <t xml:space="preserve">Affidamento del servizio di smaltimento e distruzione della documentazione di atti di archivio, conservati presso gli sportelli sociali territoriali di  felino e sala baganza </t>
  </si>
  <si>
    <t>B2EC8AB72A</t>
  </si>
  <si>
    <t>Acquisto sedia per ufficio</t>
  </si>
  <si>
    <t>B2EC97F61D</t>
  </si>
  <si>
    <t>Manutenzione  pedana automezzo attrezzato per disabili</t>
  </si>
  <si>
    <t xml:space="preserve"> 
B309C2C30E</t>
  </si>
  <si>
    <t xml:space="preserve"> inserimetno in struttura di minore straniero non accompagnato</t>
  </si>
  <si>
    <t xml:space="preserve"> 
B32EF130DE</t>
  </si>
  <si>
    <t xml:space="preserve">Affidamento del servizio di smaltimento e distruzione della documentazione di atti di archivio, conservati presso gli sportelli sociali territoriali di  Traversetolo </t>
  </si>
  <si>
    <t xml:space="preserve"> 
B309FD9B95</t>
  </si>
  <si>
    <t xml:space="preserve">servizio di manutenzione presso centro diurno di collecchio e sede </t>
  </si>
  <si>
    <t>saltatempo</t>
  </si>
  <si>
    <t>B32EDE8A1D</t>
  </si>
  <si>
    <t>affidamento di gestione del servizio di distribuzione di materiale informativo del comune di Collecchio dal 01/02/2024 al 31/08/2024</t>
  </si>
  <si>
    <t>B30A36E054</t>
  </si>
  <si>
    <t>Corso di formazione obbligatoria per sicurezza sul lavoro</t>
  </si>
  <si>
    <t>B34C8864BE</t>
  </si>
  <si>
    <t>Corso di aggiornamento obbligatorio Sicurezza sul lavoro personale</t>
  </si>
  <si>
    <t>conti guido</t>
  </si>
  <si>
    <t>B23DA9BE65</t>
  </si>
  <si>
    <t>Incarico professionale progetto "Amarcord" presso i Centri diurni aziendali</t>
  </si>
  <si>
    <t>torelli elisa</t>
  </si>
  <si>
    <t>B364A88FEC</t>
  </si>
  <si>
    <t>tsport</t>
  </si>
  <si>
    <t xml:space="preserve"> 
B36F9AFA3E</t>
  </si>
  <si>
    <t>corsi di attività motoria per la terza età anno 2023/2024</t>
  </si>
  <si>
    <t>B35B968D20</t>
  </si>
  <si>
    <t>Controllo semestrale presidi antincendio Sportello sociale e Centro diurno Basilicanova</t>
  </si>
  <si>
    <t>ILGA HOTEL</t>
  </si>
  <si>
    <t>B43F09D84E</t>
  </si>
  <si>
    <t>B4357E4073</t>
  </si>
  <si>
    <t>Fonitura gadget e cartelline per il convegno I nostri primi 5 anni, tra presente e futuro.</t>
  </si>
  <si>
    <t>B3F107A995</t>
  </si>
  <si>
    <t>Corso di ggiornamento obbligatorio per RLS</t>
  </si>
  <si>
    <t>asd galaxy</t>
  </si>
  <si>
    <t>B36F8AD557</t>
  </si>
  <si>
    <t>Corso di attività Motoria per Anziani anno 2023/2024</t>
  </si>
  <si>
    <t>scazza bruno</t>
  </si>
  <si>
    <t>B35B93C8D2</t>
  </si>
  <si>
    <t>Consulenza pratiche previdenziali</t>
  </si>
  <si>
    <t>aruba</t>
  </si>
  <si>
    <t xml:space="preserve">anello debole </t>
  </si>
  <si>
    <t>associazione raccconti senza parole di enea</t>
  </si>
  <si>
    <t>B28E325471</t>
  </si>
  <si>
    <t xml:space="preserve">Incarico per la realizzazione di un video multimediale Centro per le famiglie </t>
  </si>
  <si>
    <t>circolo anziani ivo vespini</t>
  </si>
  <si>
    <t>B43588CB13</t>
  </si>
  <si>
    <t>Rinfresco convegno 'i nostri primi 5 anni'</t>
  </si>
  <si>
    <t>associazione liberi di volare</t>
  </si>
  <si>
    <t>B4630FCB3D</t>
  </si>
  <si>
    <t>Progetto Puzzle - disabili</t>
  </si>
  <si>
    <t>B486949544</t>
  </si>
  <si>
    <t>Progetto 'Rubare colori al vento'</t>
  </si>
  <si>
    <t>associazione volontari collecchio felino sala b.</t>
  </si>
  <si>
    <t>B4B9CC03AD</t>
  </si>
  <si>
    <t xml:space="preserve">
Progetto Intenso festival COmune Collecchio Assistenza volontaria Collecchio-Sala Bgaanza-Felino</t>
  </si>
  <si>
    <t>proloco collecchio</t>
  </si>
  <si>
    <t>B4B9CC1480</t>
  </si>
  <si>
    <t xml:space="preserve">
Progetto Intenso Festival Collecchio Pro Loco Collecchio</t>
  </si>
  <si>
    <t>BUGLI VALENTINA</t>
  </si>
  <si>
    <t>Bertozzi srl</t>
  </si>
  <si>
    <t>procedura</t>
  </si>
  <si>
    <t>sforamento</t>
  </si>
  <si>
    <t>eni sustainable mobility sas</t>
  </si>
  <si>
    <t> Z68399FDCD</t>
  </si>
  <si>
    <t>carburante</t>
  </si>
  <si>
    <t>Istituto piccole figlie</t>
  </si>
  <si>
    <t>Z2739A05C6</t>
  </si>
  <si>
    <t>proges - lo stralisco</t>
  </si>
  <si>
    <t>Z9039A0A8B</t>
  </si>
  <si>
    <t>il pilastro ccop</t>
  </si>
  <si>
    <t>Z4D39AAAEE</t>
  </si>
  <si>
    <t>rette comunità adulti</t>
  </si>
  <si>
    <t>tedeschi luisa</t>
  </si>
  <si>
    <t> Z6A39BCD1F</t>
  </si>
  <si>
    <t>lavaggio biancheria cd montech e cd trav</t>
  </si>
  <si>
    <t>i Girasoli coop</t>
  </si>
  <si>
    <t>ZF039C97EB</t>
  </si>
  <si>
    <t>il Giardino coop</t>
  </si>
  <si>
    <t>ZA039C9ADE</t>
  </si>
  <si>
    <t>Z3F39C9C2D</t>
  </si>
  <si>
    <t>Publiedi</t>
  </si>
  <si>
    <t>Z9539CB64C</t>
  </si>
  <si>
    <t>trafiletto Gazzetta di Parma</t>
  </si>
  <si>
    <t>ZC539F07AC</t>
  </si>
  <si>
    <t>corso di formzione</t>
  </si>
  <si>
    <t>Collecchio centro</t>
  </si>
  <si>
    <t>ZC13A4672C</t>
  </si>
  <si>
    <t>affitto via o. grassi collecchio</t>
  </si>
  <si>
    <t>9710693d5b</t>
  </si>
  <si>
    <t>ristorazione cd aziendali</t>
  </si>
  <si>
    <t>Z6E3A36678</t>
  </si>
  <si>
    <t>manutenzione estintori anno 2022/2024</t>
  </si>
  <si>
    <t> ZC93A7B67E</t>
  </si>
  <si>
    <t xml:space="preserve">manutenzione impianti termici e clima 2023/24 </t>
  </si>
  <si>
    <t>Stecconi Sabrina</t>
  </si>
  <si>
    <t>Z873AA8BE6</t>
  </si>
  <si>
    <t>Consueling CPF 01/01/2023 - 31/10/2023</t>
  </si>
  <si>
    <t>Molinetto coop</t>
  </si>
  <si>
    <t>Z7C3ADE7BF</t>
  </si>
  <si>
    <t>Fiorente coop</t>
  </si>
  <si>
    <t>ZE13ADED66</t>
  </si>
  <si>
    <t>Z223ADF5BA</t>
  </si>
  <si>
    <t>bari alberto</t>
  </si>
  <si>
    <t>ZA63B0A260</t>
  </si>
  <si>
    <t>commercilista anni 2019-2020</t>
  </si>
  <si>
    <t>studio monica</t>
  </si>
  <si>
    <t>Z243B2E617</t>
  </si>
  <si>
    <t xml:space="preserve">consulente paghe </t>
  </si>
  <si>
    <t>ZB63B37369</t>
  </si>
  <si>
    <t>Z373BCC9E1</t>
  </si>
  <si>
    <t>rinfresco per famiglie al centro</t>
  </si>
  <si>
    <t>ETJCA</t>
  </si>
  <si>
    <t>ZF03C37E8A</t>
  </si>
  <si>
    <t>Assunzione tempo det. 07/08/2023-30/09/2023 Zdyrko Olha</t>
  </si>
  <si>
    <t>ZE43C66D49</t>
  </si>
  <si>
    <t>corso formazione</t>
  </si>
  <si>
    <t>PROMO PA FONDAZIONE</t>
  </si>
  <si>
    <t>ZDB3C6AC8D</t>
  </si>
  <si>
    <t>CESARI DANIELA</t>
  </si>
  <si>
    <t>Z483C7C87C</t>
  </si>
  <si>
    <t>Gruppo di parola 2023/2024</t>
  </si>
  <si>
    <t>BOSIO MAURO</t>
  </si>
  <si>
    <t>Z9B3C83523</t>
  </si>
  <si>
    <t>PROGETTO AFRODITE 2023/2024</t>
  </si>
  <si>
    <t>PENNA SILVIA</t>
  </si>
  <si>
    <t>ZB33C835B9</t>
  </si>
  <si>
    <t>ZF93C9FDE1</t>
  </si>
  <si>
    <t>rette comunità minori</t>
  </si>
  <si>
    <t>CASTELLI DOTTORESSA CHIARA</t>
  </si>
  <si>
    <t>Z043CE0BDA</t>
  </si>
  <si>
    <t>Incontro del 22/11 Traversetolo</t>
  </si>
  <si>
    <t>DE LUCA DANIELA</t>
  </si>
  <si>
    <t>Z9D3CE0702</t>
  </si>
  <si>
    <t>Laboratori pet therapy</t>
  </si>
  <si>
    <t>ROMUALDI NICOLA</t>
  </si>
  <si>
    <t>ZF93CE074B</t>
  </si>
  <si>
    <t>Laboratori scultura</t>
  </si>
  <si>
    <t>FOGLIAZZA DI GIANLUCA FOGLIA</t>
  </si>
  <si>
    <t>Z6D3CE0EA9</t>
  </si>
  <si>
    <t>Laboratori di disegno</t>
  </si>
  <si>
    <t>LASSE COOP</t>
  </si>
  <si>
    <t>ZA43CE3409</t>
  </si>
  <si>
    <t xml:space="preserve">progetto autismo in e aut </t>
  </si>
  <si>
    <t>ZDA3CF8625</t>
  </si>
  <si>
    <t>convenzione parole di donna</t>
  </si>
  <si>
    <t>ZA43D30C54</t>
  </si>
  <si>
    <t>MEDIAZIONE SCOLASTICA TRAVERSETOLO 2023-2025</t>
  </si>
  <si>
    <t>Z173D30C90</t>
  </si>
  <si>
    <t>MEDIAZIONE SCOLASTICA FELINO 2023-2025</t>
  </si>
  <si>
    <t>Z523D30CC7</t>
  </si>
  <si>
    <t>MEDIAZIONE SCOLASTICA TRAVERSETOLO/FELINO 2023-2025</t>
  </si>
  <si>
    <t>Z223D5C0CC</t>
  </si>
  <si>
    <t>CEIS</t>
  </si>
  <si>
    <t> ZA13D5B8DE</t>
  </si>
  <si>
    <t>Progetto Avengers</t>
  </si>
  <si>
    <t>Il Ruolo Terapeutico di Parma APS</t>
  </si>
  <si>
    <t>Z753D5B9C1</t>
  </si>
  <si>
    <t>ZF43D6B4AB</t>
  </si>
  <si>
    <t>DANZATERAPIA CD DICEMBRE 2023-APRILE 2024</t>
  </si>
  <si>
    <t>Intesa san paolo</t>
  </si>
  <si>
    <t>da caricare</t>
  </si>
  <si>
    <t xml:space="preserve"> 956910968D</t>
  </si>
  <si>
    <t>SERVIZIO TESORERIA 01/01/2023 AL 31/12/2026</t>
  </si>
  <si>
    <t xml:space="preserve">HESTIA-privatassistenza </t>
  </si>
  <si>
    <t>992632782B</t>
  </si>
  <si>
    <t>PROGETTO STAFF</t>
  </si>
  <si>
    <t>RUOZI CECILIA</t>
  </si>
  <si>
    <t>Z153D87181</t>
  </si>
  <si>
    <t>PROGETTO AVENGERS SPORTELLO D'ASCOLTO</t>
  </si>
  <si>
    <t>ARCADU MONICA</t>
  </si>
  <si>
    <t>ZC03D866BA</t>
  </si>
  <si>
    <t>CIRCOLO RUGANTINO</t>
  </si>
  <si>
    <t>ZDE3DA29FC</t>
  </si>
  <si>
    <t xml:space="preserve">PRANZO DI NATALE PER CD MONTECH E CD TRAV </t>
  </si>
  <si>
    <t>MAGNANI EVELINA</t>
  </si>
  <si>
    <t>ZA03DBAB44</t>
  </si>
  <si>
    <t>Consulenza legale centro per le famiglie 20/12/2023-29/12/2023</t>
  </si>
  <si>
    <t>INTINARELLI MARTA</t>
  </si>
  <si>
    <t>ZA93DCB27F</t>
  </si>
  <si>
    <t>MEDIAZIONE SCOLASTICA LANGHIRANO 01/01/2024-30/06/2024</t>
  </si>
  <si>
    <t>Z1A3DCB32C</t>
  </si>
  <si>
    <t>Z383DDB256</t>
  </si>
  <si>
    <t>MEDIAZIONE SCOLASTICA MONTECHIARUGOLO 01/01/2024-30/06/2024</t>
  </si>
  <si>
    <t>Z7E3DDB293</t>
  </si>
  <si>
    <t>PELACCI VERONICA</t>
  </si>
  <si>
    <t>ZCB3DDB2BD</t>
  </si>
  <si>
    <t>FISIOTERAPIA CENTRI DIURNI 2024</t>
  </si>
  <si>
    <t>MONTENERO SRL - LA CASA DI ALICE</t>
  </si>
  <si>
    <t>Z033DDB3BD</t>
  </si>
  <si>
    <t>CORNETTI LIDIE</t>
  </si>
  <si>
    <t>Z5B3DEB6C5</t>
  </si>
  <si>
    <t>PROGETTO AVENGERS ISTITUTO COMPRENSIVO DI CORNIGLIO</t>
  </si>
  <si>
    <t>anello debole aps</t>
  </si>
  <si>
    <t>Z7F3DF051B</t>
  </si>
  <si>
    <t>progetto brif bruf braf</t>
  </si>
  <si>
    <t>affidamento diretto</t>
  </si>
  <si>
    <t>Z7E34CF6A9</t>
  </si>
  <si>
    <t>distribuzione materiale comune di collecchio</t>
  </si>
  <si>
    <t>Z7634DCB3A</t>
  </si>
  <si>
    <t>posta certifica e fatturazione</t>
  </si>
  <si>
    <t>Z563686F91</t>
  </si>
  <si>
    <t>privacy 2022-2023-2024</t>
  </si>
  <si>
    <t>ZEE371DA54</t>
  </si>
  <si>
    <t>buoni pasto dipendenti</t>
  </si>
  <si>
    <t>Z4137918D4</t>
  </si>
  <si>
    <t>pet therapy</t>
  </si>
  <si>
    <t> ZF23791A74</t>
  </si>
  <si>
    <t>Z8B3791C1B</t>
  </si>
  <si>
    <t>Z163791CED</t>
  </si>
  <si>
    <t>Z4A3791E32</t>
  </si>
  <si>
    <t>Z623791EC8</t>
  </si>
  <si>
    <t>Z483791F9E</t>
  </si>
  <si>
    <t>Z48379ED84</t>
  </si>
  <si>
    <t>Z94379EE64</t>
  </si>
  <si>
    <t>torelli daria</t>
  </si>
  <si>
    <t>de luca daniela</t>
  </si>
  <si>
    <t>Il giardino coop</t>
  </si>
  <si>
    <t>Insieme coop</t>
  </si>
  <si>
    <t>il Molinetto coop</t>
  </si>
  <si>
    <t xml:space="preserve">IL pilastro coop </t>
  </si>
  <si>
    <t>Gruppo Scuola coop</t>
  </si>
  <si>
    <t>Z9A306EC88</t>
  </si>
  <si>
    <t>materiale pulizie</t>
  </si>
  <si>
    <t> Z0130A7768</t>
  </si>
  <si>
    <t>manutenzione taxi sociale</t>
  </si>
  <si>
    <t>Z043118A29</t>
  </si>
  <si>
    <t>Z353118A9F</t>
  </si>
  <si>
    <t>AUTOFFICINA DUEMILA</t>
  </si>
  <si>
    <t>ZA23009221</t>
  </si>
  <si>
    <t>MANUTENZIONE TAXI SOCIALE</t>
  </si>
  <si>
    <t>CERESINI AUTO</t>
  </si>
  <si>
    <t>ZC83009291</t>
  </si>
  <si>
    <t>affidemanto diretto</t>
  </si>
  <si>
    <t xml:space="preserve">laboratori socio occupazionali felino </t>
  </si>
  <si>
    <t>laboratori socio occupazionali sala baganza</t>
  </si>
  <si>
    <t>rette comunità disabili</t>
  </si>
  <si>
    <t>rette comunità disabili :</t>
  </si>
  <si>
    <t xml:space="preserve">Rette comunità disabili </t>
  </si>
  <si>
    <t xml:space="preserve">rette comunità disabili </t>
  </si>
  <si>
    <t>rette adulti disabili</t>
  </si>
  <si>
    <t>laboratorio socio occupazionali felino</t>
  </si>
  <si>
    <t>laboratorio socio occupazionali montech</t>
  </si>
  <si>
    <t xml:space="preserve">rette comunita minori </t>
  </si>
  <si>
    <t xml:space="preserve">laboratorio socio occupazionale felino </t>
  </si>
  <si>
    <t>laboratorio socio occupazionale</t>
  </si>
  <si>
    <t>laboratorio socio occupazionale collecchio</t>
  </si>
  <si>
    <t xml:space="preserve">rette adulti disabili </t>
  </si>
  <si>
    <t>Retta disabili adulti</t>
  </si>
  <si>
    <t>laboratorio socio occupazionale da settembre 2023</t>
  </si>
  <si>
    <t>laboratorio socio occupazioanle traversetolo da ottobre 2023</t>
  </si>
  <si>
    <t>rette disabili adulti</t>
  </si>
  <si>
    <t>COMUNITA' EDUCATIVA- AFFIDO dal  07/12/2023-31/12/2023</t>
  </si>
  <si>
    <t>soggiorno nucleo famigliare presso struttura multiutenza</t>
  </si>
  <si>
    <t>Rinnovo degli inserimenti di minori e nuclei madre-bambino in strutture e comunità socio educative -familiari anno 2024</t>
  </si>
  <si>
    <t xml:space="preserve">soggiorno nucleo famigliare presso struttura multiutenza </t>
  </si>
  <si>
    <t>INTEGRAZIONE RETTE STRUTTURE PROTETTE ANZIANI PRIMO SEMESTRE ANNO 2024</t>
  </si>
  <si>
    <t xml:space="preserve">FT PER PERNOTTAMENTO IN EMERGENZA </t>
  </si>
  <si>
    <t>il pilastro coop</t>
  </si>
  <si>
    <t>olmedo special vehicles</t>
  </si>
  <si>
    <t>futurcalor srl</t>
  </si>
  <si>
    <t>kopiak italiana snc</t>
  </si>
  <si>
    <t>adv srl</t>
  </si>
  <si>
    <t>foraboschi caldaie e condizionatori impianti elettrici</t>
  </si>
  <si>
    <t>euronorma sas</t>
  </si>
  <si>
    <t>search srl</t>
  </si>
  <si>
    <t>emc2 scral</t>
  </si>
  <si>
    <t>uisp comitato</t>
  </si>
  <si>
    <t>saltatempo coop</t>
  </si>
  <si>
    <t>sicherheit srl</t>
  </si>
  <si>
    <t>gemar srl</t>
  </si>
  <si>
    <t>Euronorma sas</t>
  </si>
  <si>
    <t>serenissima ristorazione spa</t>
  </si>
  <si>
    <t>CONSORZIO FANTASIA COOP</t>
  </si>
  <si>
    <t>emc2 SCAL</t>
  </si>
  <si>
    <t>Gruppo Scuola COOP</t>
  </si>
  <si>
    <t>emc2 SCRAL</t>
  </si>
  <si>
    <t>STECCONI SABRINA</t>
  </si>
  <si>
    <t>dayristoservice SPA</t>
  </si>
  <si>
    <t>Proges scral</t>
  </si>
  <si>
    <t>olmedo speciales vehicules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</si>
</sst>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[$€-2]\ #,##0.00;[Red]\-[$€-2]\ #,##0.00"/>
    <numFmt numFmtId="166" formatCode="_-[$€-2]\ * #,##0.00_-;\-[$€-2]\ * #,##0.00_-;_-[$€-2]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14" fontId="0" fillId="0" borderId="0" xfId="0" applyNumberFormat="1"/>
    <xf numFmtId="49" fontId="0" fillId="0" borderId="0" xfId="0" applyNumberFormat="1"/>
    <xf numFmtId="164" fontId="0" fillId="0" borderId="0" xfId="0" applyNumberFormat="1"/>
    <xf numFmtId="4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L4" sqref="L4"/>
    </sheetView>
  </sheetViews>
  <sheetFormatPr defaultColWidth="15.85546875" defaultRowHeight="15" x14ac:dyDescent="0.25"/>
  <cols>
    <col min="1" max="1" width="49" customWidth="1"/>
    <col min="2" max="2" width="25.28515625" customWidth="1"/>
    <col min="4" max="4" width="47" customWidth="1"/>
  </cols>
  <sheetData>
    <row r="1" spans="1:9" s="9" customFormat="1" ht="30" x14ac:dyDescent="0.25">
      <c r="A1" s="9" t="s">
        <v>0</v>
      </c>
      <c r="B1" s="9" t="s">
        <v>174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175</v>
      </c>
    </row>
    <row r="3" spans="1:9" ht="30" x14ac:dyDescent="0.25">
      <c r="A3" t="s">
        <v>8</v>
      </c>
      <c r="B3" t="s">
        <v>309</v>
      </c>
      <c r="C3" t="s">
        <v>9</v>
      </c>
      <c r="D3" s="8" t="s">
        <v>10</v>
      </c>
      <c r="E3" s="5">
        <v>4869</v>
      </c>
      <c r="F3" s="2">
        <v>45330</v>
      </c>
      <c r="G3" s="2">
        <v>45471</v>
      </c>
      <c r="H3" s="1">
        <f>900+1200+900+600+1200</f>
        <v>4800</v>
      </c>
      <c r="I3" s="5">
        <f>E3-H3</f>
        <v>69</v>
      </c>
    </row>
    <row r="4" spans="1:9" ht="30" x14ac:dyDescent="0.25">
      <c r="A4" t="s">
        <v>11</v>
      </c>
      <c r="B4" t="s">
        <v>309</v>
      </c>
      <c r="C4" t="s">
        <v>12</v>
      </c>
      <c r="D4" s="8" t="s">
        <v>13</v>
      </c>
      <c r="E4" s="5">
        <v>672</v>
      </c>
      <c r="F4" s="2">
        <v>45330</v>
      </c>
      <c r="G4" s="2">
        <v>45372</v>
      </c>
      <c r="H4" s="1">
        <f>462+170+40</f>
        <v>672</v>
      </c>
      <c r="I4" s="5">
        <f t="shared" ref="I4:I67" si="0">E4-H4</f>
        <v>0</v>
      </c>
    </row>
    <row r="5" spans="1:9" ht="30" x14ac:dyDescent="0.25">
      <c r="A5" t="s">
        <v>14</v>
      </c>
      <c r="B5" t="s">
        <v>309</v>
      </c>
      <c r="C5" t="s">
        <v>15</v>
      </c>
      <c r="D5" s="8" t="s">
        <v>16</v>
      </c>
      <c r="E5" s="5">
        <v>704</v>
      </c>
      <c r="F5" s="2">
        <v>45330</v>
      </c>
      <c r="G5" s="2">
        <v>45358</v>
      </c>
      <c r="H5" s="1">
        <v>703.5</v>
      </c>
      <c r="I5" s="5">
        <f t="shared" si="0"/>
        <v>0.5</v>
      </c>
    </row>
    <row r="6" spans="1:9" ht="45" x14ac:dyDescent="0.25">
      <c r="A6" t="s">
        <v>18</v>
      </c>
      <c r="B6" t="s">
        <v>309</v>
      </c>
      <c r="C6" t="s">
        <v>19</v>
      </c>
      <c r="D6" s="8" t="s">
        <v>20</v>
      </c>
      <c r="E6" s="5">
        <v>180</v>
      </c>
      <c r="F6" s="2">
        <v>45349</v>
      </c>
      <c r="G6" s="2">
        <v>45405</v>
      </c>
      <c r="H6" s="1">
        <v>59.8</v>
      </c>
      <c r="I6" s="5">
        <f t="shared" si="0"/>
        <v>120.2</v>
      </c>
    </row>
    <row r="7" spans="1:9" ht="30" x14ac:dyDescent="0.25">
      <c r="A7" t="s">
        <v>21</v>
      </c>
      <c r="B7" t="s">
        <v>309</v>
      </c>
      <c r="C7" t="s">
        <v>22</v>
      </c>
      <c r="D7" s="8" t="s">
        <v>366</v>
      </c>
      <c r="E7" s="5">
        <v>945</v>
      </c>
      <c r="F7" s="2">
        <v>45349</v>
      </c>
      <c r="G7" s="2">
        <v>45412</v>
      </c>
      <c r="H7" s="1">
        <v>945</v>
      </c>
      <c r="I7" s="5">
        <f t="shared" si="0"/>
        <v>0</v>
      </c>
    </row>
    <row r="8" spans="1:9" ht="45" x14ac:dyDescent="0.25">
      <c r="A8" t="s">
        <v>23</v>
      </c>
      <c r="B8" t="s">
        <v>309</v>
      </c>
      <c r="C8" t="s">
        <v>24</v>
      </c>
      <c r="D8" s="8" t="s">
        <v>367</v>
      </c>
      <c r="E8" s="5">
        <v>14902</v>
      </c>
      <c r="F8" s="2">
        <v>45364</v>
      </c>
      <c r="G8" s="2">
        <v>45420</v>
      </c>
      <c r="H8" s="1">
        <f>4863+4769.8+4588</f>
        <v>14220.8</v>
      </c>
      <c r="I8" s="5">
        <f t="shared" si="0"/>
        <v>681.20000000000073</v>
      </c>
    </row>
    <row r="9" spans="1:9" ht="30" x14ac:dyDescent="0.25">
      <c r="A9" t="s">
        <v>21</v>
      </c>
      <c r="B9" t="s">
        <v>309</v>
      </c>
      <c r="C9" t="s">
        <v>25</v>
      </c>
      <c r="D9" s="8" t="s">
        <v>368</v>
      </c>
      <c r="E9" s="5">
        <v>2160</v>
      </c>
      <c r="F9" s="2">
        <v>45364</v>
      </c>
      <c r="G9" s="2">
        <v>45412</v>
      </c>
      <c r="H9" s="1">
        <v>2160</v>
      </c>
      <c r="I9" s="5">
        <f t="shared" si="0"/>
        <v>0</v>
      </c>
    </row>
    <row r="10" spans="1:9" x14ac:dyDescent="0.25">
      <c r="A10" t="s">
        <v>26</v>
      </c>
      <c r="B10" t="s">
        <v>309</v>
      </c>
      <c r="C10" t="s">
        <v>27</v>
      </c>
      <c r="D10" s="8" t="s">
        <v>28</v>
      </c>
      <c r="E10" s="5">
        <v>417.66</v>
      </c>
      <c r="F10" s="2">
        <v>45371</v>
      </c>
      <c r="G10" s="2">
        <v>45372</v>
      </c>
      <c r="H10" s="1">
        <v>417.66</v>
      </c>
      <c r="I10" s="5">
        <f t="shared" si="0"/>
        <v>0</v>
      </c>
    </row>
    <row r="11" spans="1:9" x14ac:dyDescent="0.25">
      <c r="A11" t="s">
        <v>372</v>
      </c>
      <c r="B11" t="s">
        <v>309</v>
      </c>
      <c r="C11" t="s">
        <v>29</v>
      </c>
      <c r="D11" s="8" t="s">
        <v>30</v>
      </c>
      <c r="E11" s="5">
        <v>104000</v>
      </c>
      <c r="F11" s="2">
        <v>45322</v>
      </c>
      <c r="G11" s="2">
        <v>45412</v>
      </c>
      <c r="H11" s="1">
        <f>52000+52000</f>
        <v>104000</v>
      </c>
      <c r="I11" s="5">
        <f t="shared" si="0"/>
        <v>0</v>
      </c>
    </row>
    <row r="12" spans="1:9" ht="30" x14ac:dyDescent="0.25">
      <c r="A12" t="s">
        <v>373</v>
      </c>
      <c r="B12" t="s">
        <v>309</v>
      </c>
      <c r="C12" t="s">
        <v>31</v>
      </c>
      <c r="D12" s="8" t="s">
        <v>32</v>
      </c>
      <c r="E12" s="5">
        <v>2500</v>
      </c>
      <c r="F12" s="2">
        <v>45376</v>
      </c>
      <c r="G12" s="2">
        <v>45420</v>
      </c>
      <c r="H12" s="1">
        <v>2500</v>
      </c>
      <c r="I12" s="5">
        <f t="shared" si="0"/>
        <v>0</v>
      </c>
    </row>
    <row r="13" spans="1:9" ht="45" x14ac:dyDescent="0.25">
      <c r="A13" t="s">
        <v>33</v>
      </c>
      <c r="B13" t="s">
        <v>309</v>
      </c>
      <c r="C13" t="s">
        <v>34</v>
      </c>
      <c r="D13" s="8" t="s">
        <v>35</v>
      </c>
      <c r="E13" s="5">
        <v>3921</v>
      </c>
      <c r="F13" s="2">
        <v>45385</v>
      </c>
      <c r="G13" s="2">
        <v>45587</v>
      </c>
      <c r="H13" s="1">
        <f>2490+145+784+391.5</f>
        <v>3810.5</v>
      </c>
      <c r="I13" s="5">
        <f t="shared" si="0"/>
        <v>110.5</v>
      </c>
    </row>
    <row r="14" spans="1:9" x14ac:dyDescent="0.25">
      <c r="A14" t="s">
        <v>374</v>
      </c>
      <c r="B14" t="s">
        <v>309</v>
      </c>
      <c r="C14" t="s">
        <v>36</v>
      </c>
      <c r="D14" s="8" t="s">
        <v>37</v>
      </c>
      <c r="E14" s="5">
        <v>150</v>
      </c>
      <c r="F14" s="2">
        <v>45394</v>
      </c>
      <c r="G14" s="2">
        <v>45426</v>
      </c>
      <c r="H14" s="1">
        <v>150</v>
      </c>
      <c r="I14" s="5">
        <f t="shared" si="0"/>
        <v>0</v>
      </c>
    </row>
    <row r="15" spans="1:9" ht="30" x14ac:dyDescent="0.25">
      <c r="A15" t="s">
        <v>375</v>
      </c>
      <c r="B15" t="s">
        <v>309</v>
      </c>
      <c r="C15" t="s">
        <v>38</v>
      </c>
      <c r="D15" s="8" t="s">
        <v>39</v>
      </c>
      <c r="E15" s="5">
        <v>200</v>
      </c>
      <c r="F15" s="2">
        <v>45422</v>
      </c>
      <c r="G15" s="2">
        <v>45434</v>
      </c>
      <c r="H15" s="1">
        <v>200</v>
      </c>
      <c r="I15" s="5">
        <f t="shared" si="0"/>
        <v>0</v>
      </c>
    </row>
    <row r="16" spans="1:9" x14ac:dyDescent="0.25">
      <c r="A16" t="s">
        <v>40</v>
      </c>
      <c r="B16" t="s">
        <v>309</v>
      </c>
      <c r="C16" t="s">
        <v>41</v>
      </c>
      <c r="D16" s="8" t="s">
        <v>42</v>
      </c>
      <c r="E16" s="5">
        <v>1432</v>
      </c>
      <c r="F16" s="2">
        <v>45345</v>
      </c>
      <c r="G16" s="2">
        <v>45434</v>
      </c>
      <c r="H16" s="1">
        <v>1323.8</v>
      </c>
      <c r="I16" s="5">
        <f t="shared" si="0"/>
        <v>108.20000000000005</v>
      </c>
    </row>
    <row r="17" spans="1:9" x14ac:dyDescent="0.25">
      <c r="A17" t="s">
        <v>11</v>
      </c>
      <c r="B17" t="s">
        <v>309</v>
      </c>
      <c r="C17" t="s">
        <v>43</v>
      </c>
      <c r="D17" s="8" t="s">
        <v>44</v>
      </c>
      <c r="E17" s="5">
        <v>319</v>
      </c>
      <c r="F17" s="2">
        <v>45406</v>
      </c>
      <c r="G17" s="2">
        <v>45440</v>
      </c>
      <c r="H17" s="1">
        <v>292.62</v>
      </c>
      <c r="I17" s="5">
        <f t="shared" si="0"/>
        <v>26.379999999999995</v>
      </c>
    </row>
    <row r="18" spans="1:9" x14ac:dyDescent="0.25">
      <c r="A18" t="s">
        <v>45</v>
      </c>
      <c r="B18" t="s">
        <v>309</v>
      </c>
      <c r="C18" t="s">
        <v>46</v>
      </c>
      <c r="D18" s="8" t="s">
        <v>47</v>
      </c>
      <c r="E18" s="5">
        <v>156</v>
      </c>
      <c r="F18" s="2">
        <v>45394</v>
      </c>
      <c r="G18" s="2">
        <v>45442</v>
      </c>
      <c r="H18" s="1">
        <v>158.08000000000001</v>
      </c>
      <c r="I18" s="5">
        <f t="shared" si="0"/>
        <v>-2.0800000000000125</v>
      </c>
    </row>
    <row r="19" spans="1:9" x14ac:dyDescent="0.25">
      <c r="A19" t="s">
        <v>48</v>
      </c>
      <c r="B19" t="s">
        <v>309</v>
      </c>
      <c r="C19" t="s">
        <v>49</v>
      </c>
      <c r="D19" s="8" t="s">
        <v>50</v>
      </c>
      <c r="E19" s="5">
        <v>190</v>
      </c>
      <c r="F19" s="2">
        <v>45422</v>
      </c>
      <c r="G19" s="2">
        <v>45448</v>
      </c>
      <c r="H19" s="1">
        <v>189.33</v>
      </c>
      <c r="I19" s="5">
        <f t="shared" si="0"/>
        <v>0.66999999999998749</v>
      </c>
    </row>
    <row r="20" spans="1:9" ht="30" x14ac:dyDescent="0.25">
      <c r="A20" t="s">
        <v>371</v>
      </c>
      <c r="B20" t="s">
        <v>309</v>
      </c>
      <c r="C20" t="s">
        <v>51</v>
      </c>
      <c r="D20" s="8" t="s">
        <v>369</v>
      </c>
      <c r="E20" s="5">
        <v>8269</v>
      </c>
      <c r="F20" s="2">
        <v>45384</v>
      </c>
      <c r="G20" s="2">
        <v>45506</v>
      </c>
      <c r="H20" s="1">
        <f>1362.97+1408.4+1317.53+1408.4+1408.4+1362.97</f>
        <v>8268.6699999999983</v>
      </c>
      <c r="I20" s="5">
        <f t="shared" si="0"/>
        <v>0.33000000000174623</v>
      </c>
    </row>
    <row r="21" spans="1:9" x14ac:dyDescent="0.25">
      <c r="A21" t="s">
        <v>52</v>
      </c>
      <c r="B21" t="s">
        <v>309</v>
      </c>
      <c r="C21" t="s">
        <v>53</v>
      </c>
      <c r="D21" s="8" t="s">
        <v>54</v>
      </c>
      <c r="E21" s="5">
        <v>180</v>
      </c>
      <c r="F21" s="2">
        <v>45377</v>
      </c>
      <c r="G21" s="2">
        <v>45420</v>
      </c>
      <c r="H21" s="1">
        <v>181.48</v>
      </c>
      <c r="I21" s="5">
        <f t="shared" si="0"/>
        <v>-1.4799999999999898</v>
      </c>
    </row>
    <row r="22" spans="1:9" x14ac:dyDescent="0.25">
      <c r="A22" t="s">
        <v>376</v>
      </c>
      <c r="B22" t="s">
        <v>309</v>
      </c>
      <c r="C22" t="s">
        <v>56</v>
      </c>
      <c r="D22" s="8" t="s">
        <v>57</v>
      </c>
      <c r="E22" s="5">
        <v>90</v>
      </c>
      <c r="F22" s="2">
        <v>45426</v>
      </c>
      <c r="G22" s="2">
        <v>45463</v>
      </c>
      <c r="H22" s="1">
        <v>90</v>
      </c>
      <c r="I22" s="5">
        <f t="shared" si="0"/>
        <v>0</v>
      </c>
    </row>
    <row r="23" spans="1:9" x14ac:dyDescent="0.25">
      <c r="A23" t="s">
        <v>58</v>
      </c>
      <c r="B23" t="s">
        <v>309</v>
      </c>
      <c r="C23" t="s">
        <v>59</v>
      </c>
      <c r="D23" s="8" t="s">
        <v>54</v>
      </c>
      <c r="E23" s="5">
        <v>180</v>
      </c>
      <c r="F23" s="2">
        <v>45406</v>
      </c>
      <c r="G23" s="2">
        <v>45463</v>
      </c>
      <c r="H23" s="1">
        <v>121.6</v>
      </c>
      <c r="I23" s="5">
        <f t="shared" si="0"/>
        <v>58.400000000000006</v>
      </c>
    </row>
    <row r="24" spans="1:9" x14ac:dyDescent="0.25">
      <c r="A24" t="s">
        <v>377</v>
      </c>
      <c r="B24" t="s">
        <v>309</v>
      </c>
      <c r="C24" t="s">
        <v>60</v>
      </c>
      <c r="D24" s="8" t="s">
        <v>61</v>
      </c>
      <c r="E24" s="5">
        <v>60</v>
      </c>
      <c r="F24" s="2">
        <v>45331</v>
      </c>
      <c r="G24" s="2">
        <v>45426</v>
      </c>
      <c r="H24" s="1">
        <v>60</v>
      </c>
      <c r="I24" s="5">
        <f t="shared" si="0"/>
        <v>0</v>
      </c>
    </row>
    <row r="25" spans="1:9" ht="30" x14ac:dyDescent="0.25">
      <c r="A25" t="s">
        <v>62</v>
      </c>
      <c r="B25" t="s">
        <v>309</v>
      </c>
      <c r="C25" t="s">
        <v>63</v>
      </c>
      <c r="D25" s="8" t="s">
        <v>64</v>
      </c>
      <c r="E25" s="5">
        <v>150</v>
      </c>
      <c r="F25" s="2">
        <v>45406</v>
      </c>
      <c r="G25" s="2">
        <v>45471</v>
      </c>
      <c r="H25" s="1">
        <v>150</v>
      </c>
      <c r="I25" s="5">
        <f t="shared" si="0"/>
        <v>0</v>
      </c>
    </row>
    <row r="26" spans="1:9" x14ac:dyDescent="0.25">
      <c r="A26" t="s">
        <v>65</v>
      </c>
      <c r="B26" t="s">
        <v>309</v>
      </c>
      <c r="C26" t="s">
        <v>66</v>
      </c>
      <c r="D26" s="8" t="s">
        <v>67</v>
      </c>
      <c r="E26" s="5">
        <v>320</v>
      </c>
      <c r="F26" s="2">
        <v>45435</v>
      </c>
      <c r="G26" s="2">
        <v>45463</v>
      </c>
      <c r="H26" s="1">
        <v>320</v>
      </c>
      <c r="I26" s="5">
        <f t="shared" si="0"/>
        <v>0</v>
      </c>
    </row>
    <row r="27" spans="1:9" x14ac:dyDescent="0.25">
      <c r="A27" t="s">
        <v>377</v>
      </c>
      <c r="B27" t="s">
        <v>309</v>
      </c>
      <c r="C27" t="s">
        <v>68</v>
      </c>
      <c r="D27" s="8" t="s">
        <v>61</v>
      </c>
      <c r="E27" s="5">
        <v>60</v>
      </c>
      <c r="F27" s="2">
        <v>45435</v>
      </c>
      <c r="G27" s="2">
        <v>45436</v>
      </c>
      <c r="H27" s="1">
        <v>60</v>
      </c>
      <c r="I27" s="5">
        <f t="shared" si="0"/>
        <v>0</v>
      </c>
    </row>
    <row r="28" spans="1:9" x14ac:dyDescent="0.25">
      <c r="A28" t="s">
        <v>69</v>
      </c>
      <c r="B28" t="s">
        <v>309</v>
      </c>
      <c r="C28" t="s">
        <v>70</v>
      </c>
      <c r="D28" s="8" t="s">
        <v>71</v>
      </c>
      <c r="E28" s="5">
        <v>300</v>
      </c>
      <c r="F28" s="2">
        <v>45436</v>
      </c>
      <c r="G28" s="2">
        <v>45484</v>
      </c>
      <c r="H28" s="1">
        <v>300</v>
      </c>
      <c r="I28" s="5">
        <f t="shared" si="0"/>
        <v>0</v>
      </c>
    </row>
    <row r="29" spans="1:9" x14ac:dyDescent="0.25">
      <c r="A29" t="s">
        <v>72</v>
      </c>
      <c r="B29" t="s">
        <v>309</v>
      </c>
      <c r="C29" t="s">
        <v>73</v>
      </c>
      <c r="D29" s="8" t="s">
        <v>74</v>
      </c>
      <c r="E29" s="5">
        <v>565</v>
      </c>
      <c r="F29" s="2">
        <v>45331</v>
      </c>
      <c r="G29" s="2">
        <v>45489</v>
      </c>
      <c r="H29" s="1">
        <v>565</v>
      </c>
      <c r="I29" s="5">
        <f t="shared" si="0"/>
        <v>0</v>
      </c>
    </row>
    <row r="30" spans="1:9" x14ac:dyDescent="0.25">
      <c r="A30" t="s">
        <v>75</v>
      </c>
      <c r="B30" t="s">
        <v>309</v>
      </c>
      <c r="C30" t="s">
        <v>76</v>
      </c>
      <c r="D30" s="8" t="s">
        <v>77</v>
      </c>
      <c r="E30" s="5">
        <v>1082</v>
      </c>
      <c r="F30" s="2">
        <v>45436</v>
      </c>
      <c r="G30" s="2">
        <v>45462</v>
      </c>
      <c r="H30" s="1">
        <v>1081.82</v>
      </c>
      <c r="I30" s="5">
        <f t="shared" si="0"/>
        <v>0.18000000000006366</v>
      </c>
    </row>
    <row r="31" spans="1:9" x14ac:dyDescent="0.25">
      <c r="A31" t="s">
        <v>23</v>
      </c>
      <c r="B31" t="s">
        <v>309</v>
      </c>
      <c r="C31" t="s">
        <v>78</v>
      </c>
      <c r="D31" s="8" t="s">
        <v>79</v>
      </c>
      <c r="E31" s="5">
        <v>5920</v>
      </c>
      <c r="F31" s="2">
        <v>45446</v>
      </c>
      <c r="G31" s="2">
        <v>45499</v>
      </c>
      <c r="H31" s="1">
        <v>5920</v>
      </c>
      <c r="I31" s="5">
        <f t="shared" si="0"/>
        <v>0</v>
      </c>
    </row>
    <row r="32" spans="1:9" x14ac:dyDescent="0.25">
      <c r="A32" t="s">
        <v>80</v>
      </c>
      <c r="B32" t="s">
        <v>309</v>
      </c>
      <c r="C32" t="s">
        <v>81</v>
      </c>
      <c r="D32" s="8" t="s">
        <v>82</v>
      </c>
      <c r="E32" s="5">
        <v>180</v>
      </c>
      <c r="F32" s="2">
        <v>45454</v>
      </c>
      <c r="G32" s="2">
        <v>45499</v>
      </c>
      <c r="H32" s="1">
        <v>175.15</v>
      </c>
      <c r="I32" s="5">
        <f t="shared" si="0"/>
        <v>4.8499999999999943</v>
      </c>
    </row>
    <row r="33" spans="1:9" ht="60" x14ac:dyDescent="0.25">
      <c r="A33" t="s">
        <v>378</v>
      </c>
      <c r="B33" t="s">
        <v>309</v>
      </c>
      <c r="C33" t="s">
        <v>83</v>
      </c>
      <c r="D33" s="8" t="s">
        <v>84</v>
      </c>
      <c r="E33" s="5">
        <v>996</v>
      </c>
      <c r="F33" s="2">
        <v>45468</v>
      </c>
      <c r="G33" s="2">
        <v>45499</v>
      </c>
      <c r="H33" s="1">
        <v>995.7</v>
      </c>
      <c r="I33" s="5">
        <f t="shared" si="0"/>
        <v>0.29999999999995453</v>
      </c>
    </row>
    <row r="34" spans="1:9" ht="30" x14ac:dyDescent="0.25">
      <c r="A34" t="s">
        <v>8</v>
      </c>
      <c r="B34" t="s">
        <v>309</v>
      </c>
      <c r="C34" t="s">
        <v>85</v>
      </c>
      <c r="D34" s="8" t="s">
        <v>86</v>
      </c>
      <c r="E34" s="5">
        <v>531.14</v>
      </c>
      <c r="F34" s="2">
        <v>45496</v>
      </c>
      <c r="G34" s="2">
        <v>45504</v>
      </c>
      <c r="H34" s="1">
        <v>300</v>
      </c>
      <c r="I34" s="5">
        <f t="shared" si="0"/>
        <v>231.14</v>
      </c>
    </row>
    <row r="35" spans="1:9" x14ac:dyDescent="0.25">
      <c r="A35" t="s">
        <v>379</v>
      </c>
      <c r="B35" t="s">
        <v>309</v>
      </c>
      <c r="C35" t="s">
        <v>87</v>
      </c>
      <c r="D35" s="8" t="s">
        <v>88</v>
      </c>
      <c r="E35" s="5">
        <v>1500</v>
      </c>
      <c r="F35" s="2">
        <v>45345</v>
      </c>
      <c r="G35" s="2">
        <v>45506</v>
      </c>
      <c r="H35" s="1">
        <v>1500</v>
      </c>
      <c r="I35" s="5">
        <f t="shared" si="0"/>
        <v>0</v>
      </c>
    </row>
    <row r="36" spans="1:9" ht="30" x14ac:dyDescent="0.25">
      <c r="A36" t="s">
        <v>11</v>
      </c>
      <c r="B36" t="s">
        <v>309</v>
      </c>
      <c r="C36" t="s">
        <v>89</v>
      </c>
      <c r="D36" s="8" t="s">
        <v>90</v>
      </c>
      <c r="E36" s="5">
        <v>491</v>
      </c>
      <c r="F36" s="2">
        <v>45364</v>
      </c>
      <c r="G36" s="2">
        <v>45405</v>
      </c>
      <c r="H36" s="1">
        <v>482.48</v>
      </c>
      <c r="I36" s="5">
        <f t="shared" si="0"/>
        <v>8.5199999999999818</v>
      </c>
    </row>
    <row r="37" spans="1:9" ht="30" x14ac:dyDescent="0.25">
      <c r="A37" t="s">
        <v>91</v>
      </c>
      <c r="B37" t="s">
        <v>309</v>
      </c>
      <c r="C37" t="s">
        <v>92</v>
      </c>
      <c r="D37" s="8" t="s">
        <v>93</v>
      </c>
      <c r="E37" s="5">
        <v>1500</v>
      </c>
      <c r="F37" s="2">
        <v>45469</v>
      </c>
      <c r="G37" s="2">
        <v>45489</v>
      </c>
      <c r="H37" s="1">
        <v>1500</v>
      </c>
      <c r="I37" s="5">
        <f t="shared" si="0"/>
        <v>0</v>
      </c>
    </row>
    <row r="38" spans="1:9" x14ac:dyDescent="0.25">
      <c r="A38" t="s">
        <v>94</v>
      </c>
      <c r="B38" t="s">
        <v>309</v>
      </c>
      <c r="C38" t="s">
        <v>95</v>
      </c>
      <c r="D38" s="8" t="s">
        <v>96</v>
      </c>
      <c r="E38" s="5">
        <v>4800</v>
      </c>
      <c r="F38" s="2">
        <v>45490</v>
      </c>
      <c r="G38" s="2">
        <v>45491</v>
      </c>
      <c r="H38" s="1">
        <v>4800</v>
      </c>
      <c r="I38" s="5">
        <f t="shared" si="0"/>
        <v>0</v>
      </c>
    </row>
    <row r="39" spans="1:9" x14ac:dyDescent="0.25">
      <c r="A39" t="s">
        <v>97</v>
      </c>
      <c r="B39" t="s">
        <v>309</v>
      </c>
      <c r="C39" t="s">
        <v>98</v>
      </c>
      <c r="D39" s="8" t="s">
        <v>99</v>
      </c>
      <c r="E39" s="5">
        <v>792</v>
      </c>
      <c r="F39" s="2">
        <v>45478</v>
      </c>
      <c r="G39" s="2">
        <v>45526</v>
      </c>
      <c r="H39" s="1">
        <v>649.20000000000005</v>
      </c>
      <c r="I39" s="5">
        <f t="shared" si="0"/>
        <v>142.79999999999995</v>
      </c>
    </row>
    <row r="40" spans="1:9" ht="30" x14ac:dyDescent="0.25">
      <c r="A40" t="s">
        <v>100</v>
      </c>
      <c r="B40" t="s">
        <v>309</v>
      </c>
      <c r="C40" t="s">
        <v>101</v>
      </c>
      <c r="D40" s="8" t="s">
        <v>102</v>
      </c>
      <c r="E40" s="5">
        <v>1350</v>
      </c>
      <c r="F40" s="2">
        <v>45456</v>
      </c>
      <c r="G40" s="2">
        <v>45504</v>
      </c>
      <c r="H40" s="1">
        <v>1220.75</v>
      </c>
      <c r="I40" s="5">
        <f t="shared" si="0"/>
        <v>129.25</v>
      </c>
    </row>
    <row r="41" spans="1:9" x14ac:dyDescent="0.25">
      <c r="A41" t="s">
        <v>103</v>
      </c>
      <c r="B41" t="s">
        <v>309</v>
      </c>
      <c r="C41" t="s">
        <v>104</v>
      </c>
      <c r="D41" s="8" t="s">
        <v>105</v>
      </c>
      <c r="E41" s="5">
        <v>180</v>
      </c>
      <c r="F41" s="2">
        <v>45527</v>
      </c>
      <c r="G41" s="2">
        <v>45560</v>
      </c>
      <c r="H41" s="1">
        <v>52</v>
      </c>
      <c r="I41" s="5">
        <f t="shared" si="0"/>
        <v>128</v>
      </c>
    </row>
    <row r="42" spans="1:9" ht="30" x14ac:dyDescent="0.25">
      <c r="A42" t="s">
        <v>380</v>
      </c>
      <c r="B42" t="s">
        <v>309</v>
      </c>
      <c r="C42" t="s">
        <v>106</v>
      </c>
      <c r="D42" s="8" t="s">
        <v>107</v>
      </c>
      <c r="E42" s="5">
        <v>2763</v>
      </c>
      <c r="F42" s="2">
        <v>45385</v>
      </c>
      <c r="G42" s="2">
        <v>45565</v>
      </c>
      <c r="H42" s="1">
        <v>2763</v>
      </c>
      <c r="I42" s="5">
        <f t="shared" si="0"/>
        <v>0</v>
      </c>
    </row>
    <row r="43" spans="1:9" x14ac:dyDescent="0.25">
      <c r="A43" t="s">
        <v>108</v>
      </c>
      <c r="B43" t="s">
        <v>309</v>
      </c>
      <c r="C43" t="s">
        <v>109</v>
      </c>
      <c r="D43" s="8" t="s">
        <v>110</v>
      </c>
      <c r="E43" s="5">
        <v>180</v>
      </c>
      <c r="F43" s="2">
        <v>45527</v>
      </c>
      <c r="G43" s="2">
        <v>45565</v>
      </c>
      <c r="H43" s="1">
        <v>181.48</v>
      </c>
      <c r="I43" s="5">
        <f t="shared" si="0"/>
        <v>-1.4799999999999898</v>
      </c>
    </row>
    <row r="44" spans="1:9" ht="60" x14ac:dyDescent="0.25">
      <c r="A44" t="s">
        <v>111</v>
      </c>
      <c r="B44" t="s">
        <v>309</v>
      </c>
      <c r="C44" t="s">
        <v>112</v>
      </c>
      <c r="D44" s="8" t="s">
        <v>113</v>
      </c>
      <c r="E44" s="5">
        <v>300</v>
      </c>
      <c r="F44" s="2">
        <v>45450</v>
      </c>
      <c r="G44" s="2">
        <v>45565</v>
      </c>
      <c r="H44" s="1">
        <v>300</v>
      </c>
      <c r="I44" s="5">
        <f t="shared" si="0"/>
        <v>0</v>
      </c>
    </row>
    <row r="45" spans="1:9" x14ac:dyDescent="0.25">
      <c r="A45" t="s">
        <v>374</v>
      </c>
      <c r="B45" t="s">
        <v>309</v>
      </c>
      <c r="C45" t="s">
        <v>114</v>
      </c>
      <c r="D45" s="8" t="s">
        <v>115</v>
      </c>
      <c r="E45" s="5">
        <v>150</v>
      </c>
      <c r="F45" s="2">
        <v>45539</v>
      </c>
      <c r="G45" s="2">
        <v>45581</v>
      </c>
      <c r="H45" s="1">
        <v>150</v>
      </c>
      <c r="I45" s="5">
        <f t="shared" si="0"/>
        <v>0</v>
      </c>
    </row>
    <row r="46" spans="1:9" ht="30" x14ac:dyDescent="0.25">
      <c r="A46" t="s">
        <v>372</v>
      </c>
      <c r="B46" t="s">
        <v>309</v>
      </c>
      <c r="C46" t="s">
        <v>116</v>
      </c>
      <c r="D46" s="8" t="s">
        <v>117</v>
      </c>
      <c r="E46" s="5">
        <v>253</v>
      </c>
      <c r="F46" s="2">
        <v>45539</v>
      </c>
      <c r="G46" s="2">
        <v>45587</v>
      </c>
      <c r="H46" s="1">
        <v>245</v>
      </c>
      <c r="I46" s="5">
        <f t="shared" si="0"/>
        <v>8</v>
      </c>
    </row>
    <row r="47" spans="1:9" ht="30" x14ac:dyDescent="0.25">
      <c r="A47" t="s">
        <v>23</v>
      </c>
      <c r="B47" t="s">
        <v>309</v>
      </c>
      <c r="C47" t="s">
        <v>118</v>
      </c>
      <c r="D47" s="8" t="s">
        <v>119</v>
      </c>
      <c r="E47" s="5">
        <v>8904</v>
      </c>
      <c r="F47" s="2">
        <v>45530</v>
      </c>
      <c r="G47" s="2">
        <v>45595</v>
      </c>
      <c r="H47" s="1">
        <f>3864+5271.58-231.58</f>
        <v>8904</v>
      </c>
      <c r="I47" s="5">
        <f t="shared" si="0"/>
        <v>0</v>
      </c>
    </row>
    <row r="48" spans="1:9" ht="60" x14ac:dyDescent="0.25">
      <c r="A48" t="s">
        <v>111</v>
      </c>
      <c r="B48" t="s">
        <v>309</v>
      </c>
      <c r="C48" t="s">
        <v>120</v>
      </c>
      <c r="D48" s="8" t="s">
        <v>121</v>
      </c>
      <c r="E48" s="5">
        <v>300</v>
      </c>
      <c r="F48" s="2">
        <v>45539</v>
      </c>
      <c r="G48" s="2">
        <v>45595</v>
      </c>
      <c r="H48" s="1">
        <v>300</v>
      </c>
      <c r="I48" s="5">
        <f t="shared" si="0"/>
        <v>0</v>
      </c>
    </row>
    <row r="49" spans="1:9" ht="30" x14ac:dyDescent="0.25">
      <c r="A49" t="s">
        <v>11</v>
      </c>
      <c r="B49" t="s">
        <v>309</v>
      </c>
      <c r="C49" t="s">
        <v>122</v>
      </c>
      <c r="D49" s="8" t="s">
        <v>123</v>
      </c>
      <c r="E49" s="5">
        <v>1109</v>
      </c>
      <c r="F49" s="2">
        <v>45531</v>
      </c>
      <c r="G49" s="2">
        <v>45595</v>
      </c>
      <c r="H49" s="1">
        <f>282.4+826.6</f>
        <v>1109</v>
      </c>
      <c r="I49" s="5">
        <f t="shared" si="0"/>
        <v>0</v>
      </c>
    </row>
    <row r="50" spans="1:9" ht="45" x14ac:dyDescent="0.25">
      <c r="A50" t="s">
        <v>381</v>
      </c>
      <c r="B50" t="s">
        <v>309</v>
      </c>
      <c r="C50" t="s">
        <v>125</v>
      </c>
      <c r="D50" s="8" t="s">
        <v>126</v>
      </c>
      <c r="E50" s="5">
        <v>3675</v>
      </c>
      <c r="F50" s="2">
        <v>45539</v>
      </c>
      <c r="G50" s="2">
        <v>45595</v>
      </c>
      <c r="H50" s="1">
        <f>525+525+525+525+525+525+525</f>
        <v>3675</v>
      </c>
      <c r="I50" s="5">
        <f t="shared" si="0"/>
        <v>0</v>
      </c>
    </row>
    <row r="51" spans="1:9" ht="45" x14ac:dyDescent="0.25">
      <c r="A51" t="s">
        <v>33</v>
      </c>
      <c r="B51" t="s">
        <v>309</v>
      </c>
      <c r="C51" t="s">
        <v>122</v>
      </c>
      <c r="D51" s="8" t="s">
        <v>35</v>
      </c>
      <c r="E51" s="5">
        <v>3262</v>
      </c>
      <c r="F51" s="2">
        <v>45531</v>
      </c>
      <c r="G51" s="2">
        <v>45657</v>
      </c>
      <c r="H51" s="1">
        <f>1255.75+1210+849</f>
        <v>3314.75</v>
      </c>
      <c r="I51" s="5">
        <f t="shared" si="0"/>
        <v>-52.75</v>
      </c>
    </row>
    <row r="52" spans="1:9" ht="30" x14ac:dyDescent="0.25">
      <c r="A52" t="s">
        <v>377</v>
      </c>
      <c r="B52" t="s">
        <v>309</v>
      </c>
      <c r="C52" t="s">
        <v>127</v>
      </c>
      <c r="D52" s="8" t="s">
        <v>128</v>
      </c>
      <c r="E52" s="5">
        <v>120</v>
      </c>
      <c r="F52" s="2">
        <v>45548</v>
      </c>
      <c r="G52" s="2">
        <v>45574</v>
      </c>
      <c r="H52" s="1">
        <v>120</v>
      </c>
      <c r="I52" s="5">
        <f t="shared" si="0"/>
        <v>0</v>
      </c>
    </row>
    <row r="53" spans="1:9" ht="30" x14ac:dyDescent="0.25">
      <c r="A53" t="s">
        <v>377</v>
      </c>
      <c r="B53" t="s">
        <v>309</v>
      </c>
      <c r="C53" t="s">
        <v>129</v>
      </c>
      <c r="D53" s="8" t="s">
        <v>130</v>
      </c>
      <c r="E53" s="5">
        <v>180</v>
      </c>
      <c r="F53" s="2">
        <v>45568</v>
      </c>
      <c r="G53" s="2">
        <v>45574</v>
      </c>
      <c r="H53" s="1">
        <f>122+60</f>
        <v>182</v>
      </c>
      <c r="I53" s="5">
        <f t="shared" si="0"/>
        <v>-2</v>
      </c>
    </row>
    <row r="54" spans="1:9" ht="30" x14ac:dyDescent="0.25">
      <c r="A54" t="s">
        <v>131</v>
      </c>
      <c r="B54" t="s">
        <v>309</v>
      </c>
      <c r="C54" t="s">
        <v>132</v>
      </c>
      <c r="D54" s="8" t="s">
        <v>133</v>
      </c>
      <c r="E54" s="5">
        <v>4600</v>
      </c>
      <c r="F54" s="2">
        <v>45469</v>
      </c>
      <c r="G54" s="2">
        <v>45609</v>
      </c>
      <c r="H54" s="1">
        <v>4594.72</v>
      </c>
      <c r="I54" s="5">
        <f t="shared" si="0"/>
        <v>5.2799999999997453</v>
      </c>
    </row>
    <row r="55" spans="1:9" x14ac:dyDescent="0.25">
      <c r="A55" t="s">
        <v>134</v>
      </c>
      <c r="B55" t="s">
        <v>309</v>
      </c>
      <c r="C55" t="s">
        <v>135</v>
      </c>
      <c r="D55" s="8" t="s">
        <v>54</v>
      </c>
      <c r="E55" s="5">
        <v>180</v>
      </c>
      <c r="F55" s="2">
        <v>45561</v>
      </c>
      <c r="G55" s="2">
        <v>45609</v>
      </c>
      <c r="H55" s="1">
        <v>179.4</v>
      </c>
      <c r="I55" s="5">
        <f t="shared" si="0"/>
        <v>0.59999999999999432</v>
      </c>
    </row>
    <row r="56" spans="1:9" ht="30" x14ac:dyDescent="0.25">
      <c r="A56" t="s">
        <v>136</v>
      </c>
      <c r="B56" t="s">
        <v>309</v>
      </c>
      <c r="C56" t="s">
        <v>137</v>
      </c>
      <c r="D56" s="8" t="s">
        <v>138</v>
      </c>
      <c r="E56" s="5">
        <v>7650</v>
      </c>
      <c r="F56" s="2">
        <v>45566</v>
      </c>
      <c r="G56" s="2">
        <v>45615</v>
      </c>
      <c r="H56" s="1">
        <v>7650</v>
      </c>
      <c r="I56" s="5">
        <f t="shared" si="0"/>
        <v>0</v>
      </c>
    </row>
    <row r="57" spans="1:9" ht="30" x14ac:dyDescent="0.25">
      <c r="A57" t="s">
        <v>382</v>
      </c>
      <c r="B57" t="s">
        <v>309</v>
      </c>
      <c r="C57" t="s">
        <v>139</v>
      </c>
      <c r="D57" s="8" t="s">
        <v>140</v>
      </c>
      <c r="E57" s="5">
        <v>140</v>
      </c>
      <c r="F57" s="2">
        <v>45574</v>
      </c>
      <c r="G57" s="2">
        <v>45623</v>
      </c>
      <c r="H57" s="1">
        <v>140</v>
      </c>
      <c r="I57" s="5">
        <f t="shared" si="0"/>
        <v>0</v>
      </c>
    </row>
    <row r="58" spans="1:9" x14ac:dyDescent="0.25">
      <c r="A58" t="s">
        <v>141</v>
      </c>
      <c r="B58" t="s">
        <v>309</v>
      </c>
      <c r="C58" t="s">
        <v>142</v>
      </c>
      <c r="D58" s="8" t="s">
        <v>370</v>
      </c>
      <c r="E58" s="5">
        <v>75</v>
      </c>
      <c r="F58" s="2">
        <v>45609</v>
      </c>
      <c r="G58" s="2">
        <v>45609</v>
      </c>
      <c r="H58" s="1">
        <v>72.73</v>
      </c>
      <c r="I58" s="5">
        <f t="shared" si="0"/>
        <v>2.269999999999996</v>
      </c>
    </row>
    <row r="59" spans="1:9" ht="30" x14ac:dyDescent="0.25">
      <c r="A59" t="s">
        <v>383</v>
      </c>
      <c r="B59" t="s">
        <v>309</v>
      </c>
      <c r="C59" t="s">
        <v>143</v>
      </c>
      <c r="D59" s="8" t="s">
        <v>144</v>
      </c>
      <c r="E59" s="5">
        <v>893</v>
      </c>
      <c r="F59" s="2">
        <v>45607</v>
      </c>
      <c r="G59" s="2">
        <v>45625</v>
      </c>
      <c r="H59" s="1">
        <v>892.5</v>
      </c>
      <c r="I59" s="5">
        <f t="shared" si="0"/>
        <v>0.5</v>
      </c>
    </row>
    <row r="60" spans="1:9" x14ac:dyDescent="0.25">
      <c r="A60" t="s">
        <v>377</v>
      </c>
      <c r="B60" t="s">
        <v>309</v>
      </c>
      <c r="C60" t="s">
        <v>145</v>
      </c>
      <c r="D60" s="8" t="s">
        <v>146</v>
      </c>
      <c r="E60" s="5">
        <v>80</v>
      </c>
      <c r="F60" s="2">
        <v>45587</v>
      </c>
      <c r="G60" s="2">
        <v>45609</v>
      </c>
      <c r="H60" s="1">
        <v>80</v>
      </c>
      <c r="I60" s="5">
        <f t="shared" si="0"/>
        <v>0</v>
      </c>
    </row>
    <row r="61" spans="1:9" ht="30" x14ac:dyDescent="0.25">
      <c r="A61" t="s">
        <v>147</v>
      </c>
      <c r="B61" t="s">
        <v>309</v>
      </c>
      <c r="C61" t="s">
        <v>148</v>
      </c>
      <c r="D61" s="8" t="s">
        <v>149</v>
      </c>
      <c r="E61" s="5">
        <v>6100</v>
      </c>
      <c r="F61" s="2">
        <v>45561</v>
      </c>
      <c r="G61" s="2">
        <v>45632</v>
      </c>
      <c r="H61" s="1">
        <v>6100</v>
      </c>
      <c r="I61" s="5">
        <f t="shared" si="0"/>
        <v>0</v>
      </c>
    </row>
    <row r="62" spans="1:9" x14ac:dyDescent="0.25">
      <c r="A62" t="s">
        <v>150</v>
      </c>
      <c r="B62" t="s">
        <v>309</v>
      </c>
      <c r="C62" t="s">
        <v>151</v>
      </c>
      <c r="D62" s="8" t="s">
        <v>152</v>
      </c>
      <c r="E62" s="5">
        <v>3500</v>
      </c>
      <c r="F62" s="2">
        <v>45574</v>
      </c>
      <c r="G62" s="2">
        <v>45574</v>
      </c>
      <c r="H62" s="1">
        <v>2520</v>
      </c>
      <c r="I62" s="5">
        <f t="shared" si="0"/>
        <v>980</v>
      </c>
    </row>
    <row r="63" spans="1:9" ht="30" x14ac:dyDescent="0.25">
      <c r="A63" t="s">
        <v>155</v>
      </c>
      <c r="B63" t="s">
        <v>309</v>
      </c>
      <c r="C63" t="s">
        <v>156</v>
      </c>
      <c r="D63" s="8" t="s">
        <v>157</v>
      </c>
      <c r="E63" s="5">
        <v>1000</v>
      </c>
      <c r="F63" s="2">
        <v>45496</v>
      </c>
      <c r="G63" s="2">
        <v>45608</v>
      </c>
      <c r="H63" s="1">
        <v>1000</v>
      </c>
      <c r="I63" s="5">
        <f t="shared" si="0"/>
        <v>0</v>
      </c>
    </row>
    <row r="64" spans="1:9" x14ac:dyDescent="0.25">
      <c r="A64" t="s">
        <v>158</v>
      </c>
      <c r="B64" t="s">
        <v>309</v>
      </c>
      <c r="C64" t="s">
        <v>159</v>
      </c>
      <c r="D64" s="8" t="s">
        <v>160</v>
      </c>
      <c r="E64" s="5">
        <v>1000</v>
      </c>
      <c r="F64" s="2">
        <v>45607</v>
      </c>
      <c r="G64" s="2">
        <v>45615</v>
      </c>
      <c r="H64" s="1">
        <v>850</v>
      </c>
      <c r="I64" s="5">
        <f t="shared" si="0"/>
        <v>150</v>
      </c>
    </row>
    <row r="65" spans="1:9" x14ac:dyDescent="0.25">
      <c r="A65" t="s">
        <v>161</v>
      </c>
      <c r="B65" t="s">
        <v>309</v>
      </c>
      <c r="C65" t="s">
        <v>162</v>
      </c>
      <c r="D65" s="8" t="s">
        <v>163</v>
      </c>
      <c r="E65" s="5">
        <v>7188</v>
      </c>
      <c r="F65" s="2">
        <v>45617</v>
      </c>
      <c r="G65" s="2">
        <v>45618</v>
      </c>
      <c r="H65" s="1">
        <v>7187.11</v>
      </c>
      <c r="I65" s="5">
        <f t="shared" si="0"/>
        <v>0.89000000000032742</v>
      </c>
    </row>
    <row r="66" spans="1:9" x14ac:dyDescent="0.25">
      <c r="A66" t="s">
        <v>154</v>
      </c>
      <c r="B66" t="s">
        <v>309</v>
      </c>
      <c r="C66" t="s">
        <v>164</v>
      </c>
      <c r="D66" s="8" t="s">
        <v>165</v>
      </c>
      <c r="E66" s="5">
        <v>5000</v>
      </c>
      <c r="F66" s="2">
        <v>45625</v>
      </c>
      <c r="G66" s="2">
        <v>45638</v>
      </c>
      <c r="H66" s="1">
        <v>2500</v>
      </c>
      <c r="I66" s="5">
        <f t="shared" si="0"/>
        <v>2500</v>
      </c>
    </row>
    <row r="67" spans="1:9" ht="60" x14ac:dyDescent="0.25">
      <c r="A67" t="s">
        <v>166</v>
      </c>
      <c r="B67" t="s">
        <v>309</v>
      </c>
      <c r="C67" t="s">
        <v>167</v>
      </c>
      <c r="D67" s="8" t="s">
        <v>168</v>
      </c>
      <c r="E67" s="5">
        <v>700</v>
      </c>
      <c r="F67" s="2">
        <v>45637</v>
      </c>
      <c r="G67" s="2">
        <v>45644</v>
      </c>
      <c r="H67" s="1">
        <v>700</v>
      </c>
      <c r="I67" s="5">
        <f t="shared" si="0"/>
        <v>0</v>
      </c>
    </row>
    <row r="68" spans="1:9" ht="45" x14ac:dyDescent="0.25">
      <c r="A68" t="s">
        <v>169</v>
      </c>
      <c r="B68" t="s">
        <v>309</v>
      </c>
      <c r="C68" t="s">
        <v>170</v>
      </c>
      <c r="D68" s="8" t="s">
        <v>171</v>
      </c>
      <c r="E68" s="5">
        <v>922</v>
      </c>
      <c r="F68" s="2">
        <v>45637</v>
      </c>
      <c r="G68" s="2">
        <v>45644</v>
      </c>
      <c r="H68" s="1">
        <v>921.09</v>
      </c>
      <c r="I68" s="5">
        <f t="shared" ref="I68" si="1">E68-H68</f>
        <v>0.90999999999996817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opLeftCell="A22" workbookViewId="0">
      <selection activeCell="A47" sqref="A47"/>
    </sheetView>
  </sheetViews>
  <sheetFormatPr defaultRowHeight="15" x14ac:dyDescent="0.25"/>
  <cols>
    <col min="6" max="6" width="19.28515625" customWidth="1"/>
    <col min="7" max="7" width="14.7109375" customWidth="1"/>
    <col min="8" max="8" width="28.85546875" customWidth="1"/>
    <col min="9" max="9" width="13.28515625" style="1" customWidth="1"/>
    <col min="10" max="10" width="14.7109375" customWidth="1"/>
    <col min="11" max="11" width="13.85546875" customWidth="1"/>
    <col min="12" max="12" width="13.140625" style="1" bestFit="1" customWidth="1"/>
    <col min="13" max="13" width="14.85546875" customWidth="1"/>
  </cols>
  <sheetData>
    <row r="1" spans="1:13" x14ac:dyDescent="0.25">
      <c r="A1" t="s">
        <v>0</v>
      </c>
      <c r="B1" t="s">
        <v>1</v>
      </c>
      <c r="F1" t="s">
        <v>174</v>
      </c>
      <c r="G1" t="s">
        <v>2</v>
      </c>
      <c r="H1" t="s">
        <v>3</v>
      </c>
      <c r="I1" s="1" t="s">
        <v>4</v>
      </c>
      <c r="J1" t="s">
        <v>5</v>
      </c>
      <c r="K1" t="s">
        <v>6</v>
      </c>
      <c r="L1" s="1" t="s">
        <v>7</v>
      </c>
      <c r="M1" t="s">
        <v>175</v>
      </c>
    </row>
    <row r="3" spans="1:13" x14ac:dyDescent="0.25">
      <c r="A3" t="s">
        <v>176</v>
      </c>
      <c r="F3" t="s">
        <v>309</v>
      </c>
      <c r="G3" t="s">
        <v>177</v>
      </c>
      <c r="H3" t="s">
        <v>178</v>
      </c>
      <c r="I3" s="1">
        <v>39000</v>
      </c>
      <c r="J3" s="2">
        <v>44950</v>
      </c>
      <c r="K3" s="2">
        <v>45306</v>
      </c>
      <c r="L3" s="1">
        <f>3652.29+3785.28+3980.87+2758.64+3536.45+3024.99+3444.13+2851.2+3318.07+4168.44+3623.56</f>
        <v>38143.919999999998</v>
      </c>
      <c r="M3" s="5">
        <f>I3-L3</f>
        <v>856.08000000000175</v>
      </c>
    </row>
    <row r="4" spans="1:13" x14ac:dyDescent="0.25">
      <c r="A4" t="s">
        <v>179</v>
      </c>
      <c r="F4" t="s">
        <v>309</v>
      </c>
      <c r="G4" t="s">
        <v>180</v>
      </c>
      <c r="H4" t="s">
        <v>241</v>
      </c>
      <c r="I4" s="1">
        <v>17338</v>
      </c>
      <c r="J4" s="2">
        <v>44950</v>
      </c>
      <c r="K4" s="2">
        <v>45330</v>
      </c>
      <c r="L4" s="1">
        <f>1474.5+1332+1474.5+1427+1474.5+1427+1474.5+1474.5+1427+1474+1427+1474.5</f>
        <v>17361</v>
      </c>
      <c r="M4" s="5">
        <f t="shared" ref="M4:M58" si="0">I4-L4</f>
        <v>-23</v>
      </c>
    </row>
    <row r="5" spans="1:13" x14ac:dyDescent="0.25">
      <c r="A5" t="s">
        <v>181</v>
      </c>
      <c r="F5" t="s">
        <v>309</v>
      </c>
      <c r="G5" t="s">
        <v>182</v>
      </c>
      <c r="H5" t="s">
        <v>356</v>
      </c>
      <c r="I5" s="1">
        <v>27020</v>
      </c>
      <c r="J5" s="2">
        <v>44950</v>
      </c>
      <c r="K5" s="2">
        <v>45330</v>
      </c>
      <c r="L5" s="1">
        <f>2185.5+1974+2185.5+2115+2115+2115+2185.5+2115+2185.5+2185.5+2115+2185.5</f>
        <v>25662</v>
      </c>
      <c r="M5" s="5">
        <f t="shared" si="0"/>
        <v>1358</v>
      </c>
    </row>
    <row r="6" spans="1:13" x14ac:dyDescent="0.25">
      <c r="A6" t="s">
        <v>183</v>
      </c>
      <c r="F6" t="s">
        <v>309</v>
      </c>
      <c r="G6" t="s">
        <v>184</v>
      </c>
      <c r="H6" t="s">
        <v>185</v>
      </c>
      <c r="I6" s="1">
        <v>30000</v>
      </c>
      <c r="J6" s="2">
        <v>44950</v>
      </c>
      <c r="K6" s="2">
        <v>45307</v>
      </c>
      <c r="L6" s="1">
        <f>1395.24+1310.48+1077.14+1161.9+1395.24+1310.48+1232.38+1318.1+1310.48+1395.24+1232.38+1318.1+258.1+1085.71+1351.43+1273.33+1351.43+1273.33+728.57</f>
        <v>22779.060000000005</v>
      </c>
      <c r="M6" s="5">
        <f t="shared" si="0"/>
        <v>7220.9399999999951</v>
      </c>
    </row>
    <row r="7" spans="1:13" x14ac:dyDescent="0.25">
      <c r="A7" t="s">
        <v>186</v>
      </c>
      <c r="F7" t="s">
        <v>309</v>
      </c>
      <c r="G7" t="s">
        <v>187</v>
      </c>
      <c r="H7" t="s">
        <v>188</v>
      </c>
      <c r="I7" s="1">
        <v>2000</v>
      </c>
      <c r="J7" s="2">
        <v>44957</v>
      </c>
      <c r="K7" s="2">
        <v>45372</v>
      </c>
      <c r="L7" s="1">
        <f>61.48+86.06+73.78+42.62+263.12+24.59+31.15</f>
        <v>582.79999999999995</v>
      </c>
      <c r="M7" s="5">
        <f t="shared" si="0"/>
        <v>1417.2</v>
      </c>
    </row>
    <row r="8" spans="1:13" x14ac:dyDescent="0.25">
      <c r="A8" t="s">
        <v>189</v>
      </c>
      <c r="F8" t="s">
        <v>309</v>
      </c>
      <c r="G8" t="s">
        <v>190</v>
      </c>
      <c r="H8" t="s">
        <v>357</v>
      </c>
      <c r="I8" s="1">
        <v>13000</v>
      </c>
      <c r="J8" s="2">
        <v>44959</v>
      </c>
      <c r="K8" s="2">
        <v>45330</v>
      </c>
      <c r="L8" s="1">
        <f>1040.3+1066.68+1093.06+1093.06+1093.06+1093.06+1093.06+1093.06+1093.06+1093.06+1093.06+1093.06</f>
        <v>13037.579999999996</v>
      </c>
      <c r="M8" s="5">
        <f t="shared" si="0"/>
        <v>-37.579999999996289</v>
      </c>
    </row>
    <row r="9" spans="1:13" x14ac:dyDescent="0.25">
      <c r="A9" t="s">
        <v>191</v>
      </c>
      <c r="F9" t="s">
        <v>309</v>
      </c>
      <c r="G9" t="s">
        <v>192</v>
      </c>
      <c r="H9" t="s">
        <v>352</v>
      </c>
      <c r="I9" s="1">
        <v>39000</v>
      </c>
      <c r="J9" s="2">
        <v>44959</v>
      </c>
      <c r="K9" s="2">
        <v>45330</v>
      </c>
      <c r="L9" s="1">
        <f>2988.09+3052.56+3379.62+3205.62+3379.62+3270.6+3379.62+3379.62+3270+3379.62+3237.9+3325.12</f>
        <v>39247.99</v>
      </c>
      <c r="M9" s="5">
        <f t="shared" si="0"/>
        <v>-247.98999999999796</v>
      </c>
    </row>
    <row r="10" spans="1:13" x14ac:dyDescent="0.25">
      <c r="A10" t="s">
        <v>191</v>
      </c>
      <c r="F10" t="s">
        <v>309</v>
      </c>
      <c r="G10" t="s">
        <v>193</v>
      </c>
      <c r="H10" t="s">
        <v>358</v>
      </c>
      <c r="I10" s="1">
        <v>14000</v>
      </c>
      <c r="J10" s="2">
        <v>44959</v>
      </c>
      <c r="K10" s="2">
        <v>45330</v>
      </c>
      <c r="L10" s="1">
        <f>1040.3+2080.6+2080.6+2080.6+2291.64+2186.12+2186.12+2186.12+2186.12+2186.12+2186.12+2186.12+3825.71</f>
        <v>28702.289999999994</v>
      </c>
      <c r="M10" s="5">
        <f t="shared" si="0"/>
        <v>-14702.289999999994</v>
      </c>
    </row>
    <row r="11" spans="1:13" x14ac:dyDescent="0.25">
      <c r="A11" t="s">
        <v>194</v>
      </c>
      <c r="F11" t="s">
        <v>309</v>
      </c>
      <c r="G11" t="s">
        <v>195</v>
      </c>
      <c r="H11" t="s">
        <v>196</v>
      </c>
      <c r="I11" s="1">
        <v>150</v>
      </c>
      <c r="J11" s="2">
        <v>44960</v>
      </c>
      <c r="K11" s="2">
        <v>45547</v>
      </c>
      <c r="L11" s="1">
        <f>66.15+84.65</f>
        <v>150.80000000000001</v>
      </c>
      <c r="M11" s="5">
        <f t="shared" si="0"/>
        <v>-0.80000000000001137</v>
      </c>
    </row>
    <row r="12" spans="1:13" x14ac:dyDescent="0.25">
      <c r="A12" t="s">
        <v>384</v>
      </c>
      <c r="F12" t="s">
        <v>309</v>
      </c>
      <c r="G12" t="s">
        <v>197</v>
      </c>
      <c r="H12" t="s">
        <v>198</v>
      </c>
      <c r="I12" s="1">
        <v>320</v>
      </c>
      <c r="J12" s="2">
        <v>44970</v>
      </c>
      <c r="K12" s="2">
        <v>45348</v>
      </c>
      <c r="L12" s="1">
        <f>202+2500+320+60+240+60+240+120+60</f>
        <v>3802</v>
      </c>
      <c r="M12" s="5">
        <f t="shared" si="0"/>
        <v>-3482</v>
      </c>
    </row>
    <row r="13" spans="1:13" x14ac:dyDescent="0.25">
      <c r="A13" t="s">
        <v>199</v>
      </c>
      <c r="F13" t="s">
        <v>309</v>
      </c>
      <c r="G13" t="s">
        <v>200</v>
      </c>
      <c r="H13" t="s">
        <v>201</v>
      </c>
      <c r="I13" s="1">
        <v>6500</v>
      </c>
      <c r="J13" s="2">
        <v>44978</v>
      </c>
      <c r="K13" s="2">
        <v>45618</v>
      </c>
      <c r="L13" s="1">
        <f>1682.7+1682.7+1729.7+1682.7+1682.7+1682.7+1828.61</f>
        <v>11971.810000000001</v>
      </c>
      <c r="M13" s="5">
        <f t="shared" si="0"/>
        <v>-5471.8100000000013</v>
      </c>
    </row>
    <row r="14" spans="1:13" x14ac:dyDescent="0.25">
      <c r="A14" t="s">
        <v>385</v>
      </c>
      <c r="F14" t="s">
        <v>309</v>
      </c>
      <c r="G14" t="s">
        <v>202</v>
      </c>
      <c r="H14" t="s">
        <v>203</v>
      </c>
      <c r="I14" s="1">
        <v>341550</v>
      </c>
      <c r="J14" s="2">
        <v>44977</v>
      </c>
      <c r="K14" s="2">
        <v>46437</v>
      </c>
      <c r="L14" s="1">
        <f>3736.6+4564.47+5186.58+4047.21+5829.66+5633.94+5794.71+5661.9+5899.56+6500.7+6263.04+5354.34+6507.69+6843.21+6745.35+6291+7318.53+6738.36+7241.64+6815.25+7353.48+7353.48+6353.91+6304.98</f>
        <v>146339.59000000003</v>
      </c>
      <c r="M14" s="5">
        <f t="shared" si="0"/>
        <v>195210.40999999997</v>
      </c>
    </row>
    <row r="15" spans="1:13" x14ac:dyDescent="0.25">
      <c r="A15" t="s">
        <v>382</v>
      </c>
      <c r="F15" t="s">
        <v>309</v>
      </c>
      <c r="G15" t="s">
        <v>204</v>
      </c>
      <c r="H15" t="s">
        <v>205</v>
      </c>
      <c r="I15" s="1">
        <v>660</v>
      </c>
      <c r="J15" s="2">
        <v>44988</v>
      </c>
      <c r="K15" s="2">
        <v>45595</v>
      </c>
      <c r="L15" s="1">
        <f>110+147.5+244</f>
        <v>501.5</v>
      </c>
      <c r="M15" s="5">
        <f t="shared" si="0"/>
        <v>158.5</v>
      </c>
    </row>
    <row r="16" spans="1:13" x14ac:dyDescent="0.25">
      <c r="A16" t="s">
        <v>373</v>
      </c>
      <c r="F16" t="s">
        <v>309</v>
      </c>
      <c r="G16" t="s">
        <v>206</v>
      </c>
      <c r="H16" t="s">
        <v>207</v>
      </c>
      <c r="I16" s="1">
        <v>5000</v>
      </c>
      <c r="J16" s="2">
        <v>45007</v>
      </c>
      <c r="K16" s="2">
        <v>45364</v>
      </c>
      <c r="L16" s="1">
        <f>1250+690+660+1550+340</f>
        <v>4490</v>
      </c>
      <c r="M16" s="5">
        <f t="shared" si="0"/>
        <v>510</v>
      </c>
    </row>
    <row r="17" spans="1:13" x14ac:dyDescent="0.25">
      <c r="A17" t="s">
        <v>208</v>
      </c>
      <c r="F17" t="s">
        <v>309</v>
      </c>
      <c r="G17" t="s">
        <v>209</v>
      </c>
      <c r="H17" t="s">
        <v>210</v>
      </c>
      <c r="I17" s="1">
        <v>4000</v>
      </c>
      <c r="J17" s="2">
        <v>45020</v>
      </c>
      <c r="K17" s="2">
        <v>45310</v>
      </c>
      <c r="L17" s="1">
        <f>684.5+754.5+1174.5+842</f>
        <v>3455.5</v>
      </c>
      <c r="M17" s="5">
        <f t="shared" si="0"/>
        <v>544.5</v>
      </c>
    </row>
    <row r="18" spans="1:13" x14ac:dyDescent="0.25">
      <c r="A18" t="s">
        <v>211</v>
      </c>
      <c r="F18" t="s">
        <v>309</v>
      </c>
      <c r="G18" t="s">
        <v>212</v>
      </c>
      <c r="H18" t="s">
        <v>359</v>
      </c>
      <c r="I18" s="1">
        <v>39900</v>
      </c>
      <c r="J18" s="2">
        <v>45036</v>
      </c>
      <c r="K18" s="2">
        <v>45372</v>
      </c>
      <c r="L18" s="1">
        <f>2598.45+2598.45+2598.45+2598.45+2598.45+2598.45+2598.45+2598.45+1639.59+2598.45+1025.96-67.1+67.1</f>
        <v>26051.600000000002</v>
      </c>
      <c r="M18" s="5">
        <f t="shared" si="0"/>
        <v>13848.399999999998</v>
      </c>
    </row>
    <row r="19" spans="1:13" x14ac:dyDescent="0.25">
      <c r="A19" t="s">
        <v>213</v>
      </c>
      <c r="F19" t="s">
        <v>309</v>
      </c>
      <c r="G19" t="s">
        <v>214</v>
      </c>
      <c r="H19" t="s">
        <v>358</v>
      </c>
      <c r="I19" s="1">
        <v>30000</v>
      </c>
      <c r="J19" s="2">
        <v>45036</v>
      </c>
      <c r="K19" s="2">
        <v>45330</v>
      </c>
      <c r="L19" s="1">
        <f>2119.02+2119.02+2119.02+2119.02+2119.02+2119.02+2119.02+2119.02+2119.02+2119.02</f>
        <v>21190.2</v>
      </c>
      <c r="M19" s="5">
        <f t="shared" si="0"/>
        <v>8809.7999999999993</v>
      </c>
    </row>
    <row r="20" spans="1:13" x14ac:dyDescent="0.25">
      <c r="A20" t="s">
        <v>191</v>
      </c>
      <c r="F20" t="s">
        <v>309</v>
      </c>
      <c r="G20" t="s">
        <v>215</v>
      </c>
      <c r="H20" t="s">
        <v>360</v>
      </c>
      <c r="I20" s="1">
        <v>39000</v>
      </c>
      <c r="J20" s="2">
        <v>45036</v>
      </c>
      <c r="K20" s="2">
        <v>45330</v>
      </c>
      <c r="L20" s="1">
        <f>3270.6+3379.62+3270.6+3379.62+3379.62+3270.6+3379.62+3270.6+3379.62</f>
        <v>29980.499999999993</v>
      </c>
      <c r="M20" s="5">
        <f t="shared" si="0"/>
        <v>9019.5000000000073</v>
      </c>
    </row>
    <row r="21" spans="1:13" x14ac:dyDescent="0.25">
      <c r="A21" t="s">
        <v>216</v>
      </c>
      <c r="F21" t="s">
        <v>309</v>
      </c>
      <c r="G21" t="s">
        <v>217</v>
      </c>
      <c r="H21" t="s">
        <v>218</v>
      </c>
      <c r="I21" s="1">
        <v>29000</v>
      </c>
      <c r="J21" s="2">
        <v>45051</v>
      </c>
      <c r="K21" s="2">
        <v>45504</v>
      </c>
      <c r="L21" s="1">
        <f>12000+12000</f>
        <v>24000</v>
      </c>
      <c r="M21" s="5">
        <f t="shared" si="0"/>
        <v>5000</v>
      </c>
    </row>
    <row r="22" spans="1:13" x14ac:dyDescent="0.25">
      <c r="A22" t="s">
        <v>219</v>
      </c>
      <c r="F22" t="s">
        <v>309</v>
      </c>
      <c r="G22" t="s">
        <v>220</v>
      </c>
      <c r="H22" t="s">
        <v>221</v>
      </c>
      <c r="I22" s="1">
        <v>39000</v>
      </c>
      <c r="J22" s="2">
        <v>45062</v>
      </c>
      <c r="K22" s="2">
        <v>45351</v>
      </c>
      <c r="L22" s="1">
        <f>18200+2600+18200</f>
        <v>39000</v>
      </c>
      <c r="M22" s="5">
        <f t="shared" si="0"/>
        <v>0</v>
      </c>
    </row>
    <row r="23" spans="1:13" x14ac:dyDescent="0.25">
      <c r="A23" t="s">
        <v>386</v>
      </c>
      <c r="F23" t="s">
        <v>309</v>
      </c>
      <c r="G23" t="s">
        <v>222</v>
      </c>
      <c r="H23" t="s">
        <v>361</v>
      </c>
      <c r="I23" s="1">
        <v>18000</v>
      </c>
      <c r="J23" s="2">
        <v>45064</v>
      </c>
      <c r="K23" s="2">
        <v>45352</v>
      </c>
      <c r="L23" s="1">
        <f>2411.9+5972.75+3133.5+3237.95+3237.95+3133.5+3237.95+3133.5+3237.95</f>
        <v>30736.95</v>
      </c>
      <c r="M23" s="5">
        <f t="shared" si="0"/>
        <v>-12736.95</v>
      </c>
    </row>
    <row r="24" spans="1:13" x14ac:dyDescent="0.25">
      <c r="A24" t="s">
        <v>387</v>
      </c>
      <c r="F24" t="s">
        <v>309</v>
      </c>
      <c r="G24" t="s">
        <v>223</v>
      </c>
      <c r="H24" t="s">
        <v>224</v>
      </c>
      <c r="I24" s="1">
        <v>500</v>
      </c>
      <c r="J24" s="2">
        <v>45111</v>
      </c>
      <c r="K24" s="2">
        <v>45330</v>
      </c>
      <c r="L24" s="1">
        <f>95.24+363.65+1018.5+123.7</f>
        <v>1601.09</v>
      </c>
      <c r="M24" s="5">
        <f t="shared" si="0"/>
        <v>-1101.0899999999999</v>
      </c>
    </row>
    <row r="25" spans="1:13" x14ac:dyDescent="0.25">
      <c r="A25" t="s">
        <v>225</v>
      </c>
      <c r="F25" t="s">
        <v>309</v>
      </c>
      <c r="G25" t="s">
        <v>226</v>
      </c>
      <c r="H25" t="s">
        <v>227</v>
      </c>
      <c r="I25" s="1">
        <v>4000</v>
      </c>
      <c r="J25" s="2">
        <v>45159</v>
      </c>
      <c r="K25" s="2">
        <v>45330</v>
      </c>
      <c r="L25" s="1">
        <f>171.8+1624.38+191.65+190.45+10</f>
        <v>2188.2800000000002</v>
      </c>
      <c r="M25" s="5">
        <f t="shared" si="0"/>
        <v>1811.7199999999998</v>
      </c>
    </row>
    <row r="26" spans="1:13" x14ac:dyDescent="0.25">
      <c r="A26" t="s">
        <v>387</v>
      </c>
      <c r="F26" t="s">
        <v>309</v>
      </c>
      <c r="G26" t="s">
        <v>228</v>
      </c>
      <c r="H26" t="s">
        <v>362</v>
      </c>
      <c r="I26" s="1">
        <v>39000</v>
      </c>
      <c r="J26" s="2">
        <v>45180</v>
      </c>
      <c r="K26" s="2">
        <v>45412</v>
      </c>
      <c r="L26" s="1">
        <f>3590.42+10771.26+2801.7+660</f>
        <v>17823.38</v>
      </c>
      <c r="M26" s="5">
        <f t="shared" si="0"/>
        <v>21176.62</v>
      </c>
    </row>
    <row r="27" spans="1:13" x14ac:dyDescent="0.25">
      <c r="A27" t="s">
        <v>230</v>
      </c>
      <c r="F27" t="s">
        <v>309</v>
      </c>
      <c r="G27" t="s">
        <v>231</v>
      </c>
      <c r="H27" t="s">
        <v>229</v>
      </c>
      <c r="I27" s="1">
        <v>210</v>
      </c>
      <c r="J27" s="2">
        <v>45181</v>
      </c>
      <c r="K27" s="2">
        <v>45348</v>
      </c>
      <c r="L27" s="1">
        <f>280+210+350</f>
        <v>840</v>
      </c>
      <c r="M27" s="5">
        <f t="shared" si="0"/>
        <v>-630</v>
      </c>
    </row>
    <row r="28" spans="1:13" x14ac:dyDescent="0.25">
      <c r="A28" t="s">
        <v>232</v>
      </c>
      <c r="F28" t="s">
        <v>309</v>
      </c>
      <c r="G28" t="s">
        <v>233</v>
      </c>
      <c r="H28" t="s">
        <v>234</v>
      </c>
      <c r="I28" s="1">
        <v>3080</v>
      </c>
      <c r="J28" s="2">
        <v>45187</v>
      </c>
      <c r="K28" s="2">
        <v>45343</v>
      </c>
      <c r="L28" s="1">
        <f>1570.8+1055.6</f>
        <v>2626.3999999999996</v>
      </c>
      <c r="M28" s="5">
        <f t="shared" si="0"/>
        <v>453.60000000000036</v>
      </c>
    </row>
    <row r="29" spans="1:13" x14ac:dyDescent="0.25">
      <c r="A29" t="s">
        <v>235</v>
      </c>
      <c r="F29" t="s">
        <v>309</v>
      </c>
      <c r="G29" t="s">
        <v>236</v>
      </c>
      <c r="H29" t="s">
        <v>237</v>
      </c>
      <c r="I29" s="1">
        <v>3850</v>
      </c>
      <c r="J29" s="2">
        <v>45188</v>
      </c>
      <c r="K29" s="2">
        <v>45632</v>
      </c>
      <c r="L29" s="1">
        <f>1925.05+1925.05</f>
        <v>3850.1</v>
      </c>
      <c r="M29" s="5">
        <f t="shared" si="0"/>
        <v>-9.9999999999909051E-2</v>
      </c>
    </row>
    <row r="30" spans="1:13" x14ac:dyDescent="0.25">
      <c r="A30" t="s">
        <v>238</v>
      </c>
      <c r="F30" t="s">
        <v>309</v>
      </c>
      <c r="G30" t="s">
        <v>239</v>
      </c>
      <c r="H30" t="s">
        <v>237</v>
      </c>
      <c r="I30" s="1">
        <v>2280</v>
      </c>
      <c r="J30" s="2">
        <v>45188</v>
      </c>
      <c r="K30" s="2">
        <v>45499</v>
      </c>
      <c r="L30" s="1">
        <v>2280.0100000000002</v>
      </c>
      <c r="M30" s="5">
        <f t="shared" si="0"/>
        <v>-1.0000000000218279E-2</v>
      </c>
    </row>
    <row r="31" spans="1:13" x14ac:dyDescent="0.25">
      <c r="A31" t="s">
        <v>388</v>
      </c>
      <c r="F31" t="s">
        <v>309</v>
      </c>
      <c r="G31" t="s">
        <v>240</v>
      </c>
      <c r="H31" t="s">
        <v>363</v>
      </c>
      <c r="I31" s="1">
        <v>39900</v>
      </c>
      <c r="J31" s="2">
        <v>45197</v>
      </c>
      <c r="K31" s="2">
        <v>45330</v>
      </c>
      <c r="L31" s="1">
        <f>5453.83+5453.83+5453.83</f>
        <v>16361.49</v>
      </c>
      <c r="M31" s="5">
        <f t="shared" si="0"/>
        <v>23538.510000000002</v>
      </c>
    </row>
    <row r="32" spans="1:13" x14ac:dyDescent="0.25">
      <c r="A32" t="s">
        <v>242</v>
      </c>
      <c r="F32" t="s">
        <v>309</v>
      </c>
      <c r="G32" t="s">
        <v>243</v>
      </c>
      <c r="H32" t="s">
        <v>244</v>
      </c>
      <c r="I32" s="1">
        <v>102</v>
      </c>
      <c r="J32" s="2">
        <v>45216</v>
      </c>
      <c r="K32" s="2">
        <v>45552</v>
      </c>
      <c r="L32" s="1">
        <v>102</v>
      </c>
      <c r="M32" s="5">
        <f t="shared" si="0"/>
        <v>0</v>
      </c>
    </row>
    <row r="33" spans="1:13" x14ac:dyDescent="0.25">
      <c r="A33" t="s">
        <v>245</v>
      </c>
      <c r="F33" t="s">
        <v>309</v>
      </c>
      <c r="G33" t="s">
        <v>246</v>
      </c>
      <c r="H33" t="s">
        <v>247</v>
      </c>
      <c r="I33" s="1">
        <v>2413</v>
      </c>
      <c r="J33" s="2">
        <v>45216</v>
      </c>
      <c r="K33" s="2">
        <v>45499</v>
      </c>
      <c r="L33" s="1">
        <v>2542</v>
      </c>
      <c r="M33" s="5">
        <f t="shared" si="0"/>
        <v>-129</v>
      </c>
    </row>
    <row r="34" spans="1:13" x14ac:dyDescent="0.25">
      <c r="A34" t="s">
        <v>248</v>
      </c>
      <c r="F34" t="s">
        <v>309</v>
      </c>
      <c r="G34" t="s">
        <v>249</v>
      </c>
      <c r="H34" t="s">
        <v>250</v>
      </c>
      <c r="I34" s="1">
        <v>700</v>
      </c>
      <c r="J34" s="2">
        <v>45216</v>
      </c>
      <c r="K34" s="2">
        <v>45309</v>
      </c>
      <c r="L34" s="1">
        <v>720.79</v>
      </c>
      <c r="M34" s="5">
        <f t="shared" si="0"/>
        <v>-20.789999999999964</v>
      </c>
    </row>
    <row r="35" spans="1:13" x14ac:dyDescent="0.25">
      <c r="A35" t="s">
        <v>251</v>
      </c>
      <c r="F35" t="s">
        <v>309</v>
      </c>
      <c r="G35" t="s">
        <v>252</v>
      </c>
      <c r="H35" t="s">
        <v>253</v>
      </c>
      <c r="I35" s="1">
        <v>1700</v>
      </c>
      <c r="J35" s="2">
        <v>45216</v>
      </c>
      <c r="K35" s="2">
        <v>45391</v>
      </c>
      <c r="L35" s="1">
        <v>1490</v>
      </c>
      <c r="M35" s="5">
        <f t="shared" si="0"/>
        <v>210</v>
      </c>
    </row>
    <row r="36" spans="1:13" x14ac:dyDescent="0.25">
      <c r="A36" t="s">
        <v>254</v>
      </c>
      <c r="F36" t="s">
        <v>309</v>
      </c>
      <c r="G36" t="s">
        <v>255</v>
      </c>
      <c r="H36" t="s">
        <v>256</v>
      </c>
      <c r="I36" s="1">
        <v>4000</v>
      </c>
      <c r="J36" s="2">
        <v>45216</v>
      </c>
      <c r="K36" s="2">
        <v>45471</v>
      </c>
      <c r="L36" s="1">
        <v>3141</v>
      </c>
      <c r="M36" s="5">
        <f t="shared" si="0"/>
        <v>859</v>
      </c>
    </row>
    <row r="37" spans="1:13" x14ac:dyDescent="0.25">
      <c r="A37" t="s">
        <v>389</v>
      </c>
      <c r="F37" t="s">
        <v>309</v>
      </c>
      <c r="G37" t="s">
        <v>257</v>
      </c>
      <c r="H37" t="s">
        <v>258</v>
      </c>
      <c r="I37" s="1">
        <v>1580</v>
      </c>
      <c r="J37" s="2">
        <v>45222</v>
      </c>
      <c r="K37" s="2">
        <v>45322</v>
      </c>
      <c r="L37" s="1">
        <v>1580</v>
      </c>
      <c r="M37" s="5">
        <f t="shared" si="0"/>
        <v>0</v>
      </c>
    </row>
    <row r="38" spans="1:13" x14ac:dyDescent="0.25">
      <c r="A38" t="s">
        <v>291</v>
      </c>
      <c r="F38" t="s">
        <v>309</v>
      </c>
      <c r="G38" t="s">
        <v>259</v>
      </c>
      <c r="H38" t="s">
        <v>260</v>
      </c>
      <c r="I38" s="1">
        <v>550</v>
      </c>
      <c r="J38" s="2">
        <v>45239</v>
      </c>
      <c r="K38" s="2">
        <v>45420</v>
      </c>
      <c r="L38" s="1">
        <v>550</v>
      </c>
      <c r="M38" s="5">
        <f t="shared" si="0"/>
        <v>0</v>
      </c>
    </row>
    <row r="39" spans="1:13" x14ac:dyDescent="0.25">
      <c r="A39" t="s">
        <v>390</v>
      </c>
      <c r="F39" t="s">
        <v>309</v>
      </c>
      <c r="G39" t="s">
        <v>261</v>
      </c>
      <c r="H39" t="s">
        <v>262</v>
      </c>
      <c r="I39" s="1">
        <v>552</v>
      </c>
      <c r="J39" s="2">
        <v>45239</v>
      </c>
      <c r="K39" s="2">
        <v>45420</v>
      </c>
      <c r="L39" s="1">
        <v>552</v>
      </c>
      <c r="M39" s="5">
        <f t="shared" si="0"/>
        <v>0</v>
      </c>
    </row>
    <row r="40" spans="1:13" x14ac:dyDescent="0.25">
      <c r="A40" t="s">
        <v>232</v>
      </c>
      <c r="F40" t="s">
        <v>309</v>
      </c>
      <c r="G40" t="s">
        <v>263</v>
      </c>
      <c r="H40" t="s">
        <v>264</v>
      </c>
      <c r="I40" s="1">
        <v>1100</v>
      </c>
      <c r="J40" s="2">
        <v>45239</v>
      </c>
      <c r="K40" s="2">
        <v>45420</v>
      </c>
      <c r="L40" s="1">
        <v>1100</v>
      </c>
      <c r="M40" s="5">
        <f t="shared" si="0"/>
        <v>0</v>
      </c>
    </row>
    <row r="41" spans="1:13" x14ac:dyDescent="0.25">
      <c r="A41" t="s">
        <v>55</v>
      </c>
      <c r="F41" t="s">
        <v>309</v>
      </c>
      <c r="G41" t="s">
        <v>265</v>
      </c>
      <c r="H41" t="s">
        <v>364</v>
      </c>
      <c r="I41" s="1">
        <v>39900</v>
      </c>
      <c r="J41" s="2">
        <v>45250</v>
      </c>
      <c r="K41" s="2">
        <v>45330</v>
      </c>
      <c r="L41" s="1">
        <f>3230.7+3338.39</f>
        <v>6569.09</v>
      </c>
      <c r="M41" s="5">
        <f t="shared" si="0"/>
        <v>33330.910000000003</v>
      </c>
    </row>
    <row r="42" spans="1:13" x14ac:dyDescent="0.25">
      <c r="A42" t="s">
        <v>266</v>
      </c>
      <c r="F42" t="s">
        <v>309</v>
      </c>
      <c r="G42" t="s">
        <v>267</v>
      </c>
      <c r="H42" t="s">
        <v>268</v>
      </c>
      <c r="I42" s="1">
        <v>3500</v>
      </c>
      <c r="J42" s="2">
        <v>45250</v>
      </c>
      <c r="K42" s="2">
        <v>45506</v>
      </c>
      <c r="L42" s="1">
        <v>2660</v>
      </c>
      <c r="M42" s="5">
        <f t="shared" si="0"/>
        <v>840</v>
      </c>
    </row>
    <row r="43" spans="1:13" x14ac:dyDescent="0.25">
      <c r="A43" t="s">
        <v>269</v>
      </c>
      <c r="F43" t="s">
        <v>309</v>
      </c>
      <c r="G43" t="s">
        <v>270</v>
      </c>
      <c r="H43" t="s">
        <v>268</v>
      </c>
      <c r="I43" s="1">
        <v>554</v>
      </c>
      <c r="J43" s="2">
        <v>45250</v>
      </c>
      <c r="K43" s="2">
        <v>45527</v>
      </c>
      <c r="L43" s="1">
        <v>753.8</v>
      </c>
      <c r="M43" s="5">
        <f t="shared" si="0"/>
        <v>-199.79999999999995</v>
      </c>
    </row>
    <row r="44" spans="1:13" x14ac:dyDescent="0.25">
      <c r="A44" t="s">
        <v>172</v>
      </c>
      <c r="F44" t="s">
        <v>309</v>
      </c>
      <c r="G44" t="s">
        <v>271</v>
      </c>
      <c r="H44" t="s">
        <v>272</v>
      </c>
      <c r="I44" s="1">
        <v>1872</v>
      </c>
      <c r="J44" s="2">
        <v>45253</v>
      </c>
      <c r="K44" s="2">
        <v>45483</v>
      </c>
      <c r="L44" s="1">
        <v>1874</v>
      </c>
      <c r="M44" s="5">
        <f t="shared" si="0"/>
        <v>-2</v>
      </c>
    </row>
    <row r="45" spans="1:13" x14ac:dyDescent="0.25">
      <c r="A45" t="s">
        <v>273</v>
      </c>
      <c r="C45" t="s">
        <v>274</v>
      </c>
      <c r="F45" t="s">
        <v>309</v>
      </c>
      <c r="G45" t="s">
        <v>275</v>
      </c>
      <c r="H45" t="s">
        <v>276</v>
      </c>
      <c r="I45" s="1">
        <v>80000</v>
      </c>
      <c r="J45" s="2">
        <v>44944</v>
      </c>
      <c r="K45" s="2">
        <v>46387</v>
      </c>
      <c r="L45" s="1">
        <f>5866.63-5866.63+5866.67+1440.19+6400</f>
        <v>13706.86</v>
      </c>
      <c r="M45" s="5">
        <f t="shared" si="0"/>
        <v>66293.14</v>
      </c>
    </row>
    <row r="46" spans="1:13" x14ac:dyDescent="0.25">
      <c r="A46" t="s">
        <v>277</v>
      </c>
      <c r="F46" t="s">
        <v>309</v>
      </c>
      <c r="G46" t="s">
        <v>278</v>
      </c>
      <c r="H46" t="s">
        <v>279</v>
      </c>
      <c r="I46" s="1">
        <v>25000</v>
      </c>
      <c r="J46" s="2">
        <v>45118</v>
      </c>
      <c r="K46" s="2">
        <v>45871</v>
      </c>
      <c r="L46" s="1">
        <f>11662+5831+1666+1666+1666+1666+1666+1666</f>
        <v>27489</v>
      </c>
      <c r="M46" s="5">
        <f t="shared" si="0"/>
        <v>-2489</v>
      </c>
    </row>
    <row r="47" spans="1:13" x14ac:dyDescent="0.25">
      <c r="A47" t="s">
        <v>280</v>
      </c>
      <c r="F47" t="s">
        <v>309</v>
      </c>
      <c r="G47" t="s">
        <v>281</v>
      </c>
      <c r="H47" t="s">
        <v>282</v>
      </c>
      <c r="I47" s="1">
        <v>700</v>
      </c>
      <c r="J47" s="2">
        <v>45260</v>
      </c>
      <c r="K47" s="2">
        <v>45527</v>
      </c>
      <c r="L47" s="1">
        <v>700</v>
      </c>
      <c r="M47" s="5">
        <f t="shared" si="0"/>
        <v>0</v>
      </c>
    </row>
    <row r="48" spans="1:13" x14ac:dyDescent="0.25">
      <c r="A48" t="s">
        <v>283</v>
      </c>
      <c r="F48" t="s">
        <v>309</v>
      </c>
      <c r="G48" t="s">
        <v>284</v>
      </c>
      <c r="H48" t="s">
        <v>282</v>
      </c>
      <c r="I48" s="1">
        <v>500</v>
      </c>
      <c r="J48" s="2">
        <v>45260</v>
      </c>
      <c r="K48" s="2">
        <v>45527</v>
      </c>
      <c r="L48" s="1">
        <v>500</v>
      </c>
      <c r="M48" s="5">
        <f t="shared" si="0"/>
        <v>0</v>
      </c>
    </row>
    <row r="49" spans="1:13" x14ac:dyDescent="0.25">
      <c r="A49" t="s">
        <v>285</v>
      </c>
      <c r="F49" t="s">
        <v>309</v>
      </c>
      <c r="G49" t="s">
        <v>286</v>
      </c>
      <c r="H49" t="s">
        <v>287</v>
      </c>
      <c r="I49" s="1">
        <v>2470</v>
      </c>
      <c r="J49" s="2">
        <v>45266</v>
      </c>
      <c r="K49" s="2">
        <v>45322</v>
      </c>
      <c r="L49" s="1">
        <v>1612</v>
      </c>
      <c r="M49" s="5">
        <f t="shared" si="0"/>
        <v>858</v>
      </c>
    </row>
    <row r="50" spans="1:13" x14ac:dyDescent="0.25">
      <c r="A50" t="s">
        <v>288</v>
      </c>
      <c r="F50" t="s">
        <v>309</v>
      </c>
      <c r="G50" t="s">
        <v>289</v>
      </c>
      <c r="H50" t="s">
        <v>290</v>
      </c>
      <c r="I50" s="1">
        <v>180</v>
      </c>
      <c r="J50" s="2">
        <v>45272</v>
      </c>
      <c r="K50" s="2">
        <v>45310</v>
      </c>
      <c r="L50" s="1">
        <v>121.99</v>
      </c>
      <c r="M50" s="5">
        <f t="shared" si="0"/>
        <v>58.010000000000005</v>
      </c>
    </row>
    <row r="51" spans="1:13" x14ac:dyDescent="0.25">
      <c r="A51" t="s">
        <v>291</v>
      </c>
      <c r="F51" t="s">
        <v>309</v>
      </c>
      <c r="G51" t="s">
        <v>292</v>
      </c>
      <c r="H51" t="s">
        <v>293</v>
      </c>
      <c r="I51" s="1">
        <v>550</v>
      </c>
      <c r="J51" s="2">
        <v>45275</v>
      </c>
      <c r="K51" s="2">
        <v>45420</v>
      </c>
      <c r="L51" s="1">
        <v>550</v>
      </c>
      <c r="M51" s="5">
        <f t="shared" si="0"/>
        <v>0</v>
      </c>
    </row>
    <row r="52" spans="1:13" x14ac:dyDescent="0.25">
      <c r="A52" t="s">
        <v>232</v>
      </c>
      <c r="F52" t="s">
        <v>309</v>
      </c>
      <c r="G52" t="s">
        <v>294</v>
      </c>
      <c r="H52" t="s">
        <v>293</v>
      </c>
      <c r="I52" s="1">
        <v>657.85</v>
      </c>
      <c r="J52" s="2">
        <v>45275</v>
      </c>
      <c r="K52" s="2">
        <v>45420</v>
      </c>
      <c r="L52" s="1">
        <v>657.85</v>
      </c>
      <c r="M52" s="5">
        <f t="shared" si="0"/>
        <v>0</v>
      </c>
    </row>
    <row r="53" spans="1:13" x14ac:dyDescent="0.25">
      <c r="A53" t="s">
        <v>232</v>
      </c>
      <c r="F53" t="s">
        <v>309</v>
      </c>
      <c r="G53" t="s">
        <v>295</v>
      </c>
      <c r="H53" t="s">
        <v>296</v>
      </c>
      <c r="I53" s="1">
        <v>539.22</v>
      </c>
      <c r="J53" s="2">
        <v>45279</v>
      </c>
      <c r="K53" s="2">
        <v>45420</v>
      </c>
      <c r="L53" s="1">
        <v>539.22</v>
      </c>
      <c r="M53" s="5">
        <f t="shared" si="0"/>
        <v>0</v>
      </c>
    </row>
    <row r="54" spans="1:13" x14ac:dyDescent="0.25">
      <c r="A54" t="s">
        <v>291</v>
      </c>
      <c r="F54" t="s">
        <v>309</v>
      </c>
      <c r="G54" t="s">
        <v>297</v>
      </c>
      <c r="H54" t="s">
        <v>296</v>
      </c>
      <c r="I54" s="1">
        <v>550</v>
      </c>
      <c r="J54" s="2">
        <v>45279</v>
      </c>
      <c r="K54" s="2">
        <v>45420</v>
      </c>
      <c r="L54" s="1">
        <v>550</v>
      </c>
      <c r="M54" s="5">
        <f t="shared" si="0"/>
        <v>0</v>
      </c>
    </row>
    <row r="55" spans="1:13" x14ac:dyDescent="0.25">
      <c r="A55" t="s">
        <v>298</v>
      </c>
      <c r="F55" t="s">
        <v>309</v>
      </c>
      <c r="G55" t="s">
        <v>299</v>
      </c>
      <c r="H55" t="s">
        <v>300</v>
      </c>
      <c r="I55" s="1">
        <v>1400</v>
      </c>
      <c r="J55" s="2">
        <v>45279</v>
      </c>
      <c r="K55" s="2">
        <v>45632</v>
      </c>
      <c r="L55" s="1">
        <v>524.16</v>
      </c>
      <c r="M55" s="5">
        <f t="shared" si="0"/>
        <v>875.84</v>
      </c>
    </row>
    <row r="56" spans="1:13" x14ac:dyDescent="0.25">
      <c r="A56" t="s">
        <v>301</v>
      </c>
      <c r="F56" t="s">
        <v>309</v>
      </c>
      <c r="G56" t="s">
        <v>302</v>
      </c>
      <c r="H56" t="s">
        <v>365</v>
      </c>
      <c r="I56" s="1">
        <v>3700</v>
      </c>
      <c r="J56" s="2">
        <v>45279</v>
      </c>
      <c r="K56" s="2">
        <v>45330</v>
      </c>
      <c r="L56" s="1">
        <v>4269.7</v>
      </c>
      <c r="M56" s="5">
        <f t="shared" si="0"/>
        <v>-569.69999999999982</v>
      </c>
    </row>
    <row r="57" spans="1:13" x14ac:dyDescent="0.25">
      <c r="A57" t="s">
        <v>303</v>
      </c>
      <c r="F57" t="s">
        <v>309</v>
      </c>
      <c r="G57" t="s">
        <v>304</v>
      </c>
      <c r="H57" t="s">
        <v>305</v>
      </c>
      <c r="I57" s="1">
        <v>500</v>
      </c>
      <c r="J57" s="2">
        <v>45281</v>
      </c>
      <c r="K57" s="2">
        <v>45462</v>
      </c>
      <c r="L57" s="1">
        <v>500</v>
      </c>
      <c r="M57" s="5">
        <f t="shared" si="0"/>
        <v>0</v>
      </c>
    </row>
    <row r="58" spans="1:13" x14ac:dyDescent="0.25">
      <c r="A58" t="s">
        <v>306</v>
      </c>
      <c r="F58" t="s">
        <v>309</v>
      </c>
      <c r="G58" t="s">
        <v>307</v>
      </c>
      <c r="H58" t="s">
        <v>308</v>
      </c>
      <c r="I58" s="1">
        <v>4500</v>
      </c>
      <c r="J58" s="2">
        <v>45282</v>
      </c>
      <c r="K58" s="2">
        <v>45463</v>
      </c>
      <c r="L58" s="1">
        <v>4500</v>
      </c>
      <c r="M58" s="5">
        <f t="shared" si="0"/>
        <v>0</v>
      </c>
    </row>
  </sheetData>
  <sortState ref="A1:M1">
    <sortCondition descending="1" ref="K1" customList="20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A14" sqref="A14"/>
    </sheetView>
  </sheetViews>
  <sheetFormatPr defaultRowHeight="15" x14ac:dyDescent="0.25"/>
  <cols>
    <col min="6" max="6" width="16.28515625" customWidth="1"/>
    <col min="7" max="7" width="13.42578125" customWidth="1"/>
    <col min="8" max="8" width="46.140625" customWidth="1"/>
    <col min="9" max="9" width="14" customWidth="1"/>
    <col min="10" max="10" width="11" customWidth="1"/>
    <col min="11" max="11" width="12.140625" customWidth="1"/>
    <col min="12" max="12" width="11.7109375" customWidth="1"/>
    <col min="13" max="13" width="12" bestFit="1" customWidth="1"/>
  </cols>
  <sheetData>
    <row r="1" spans="1:13" x14ac:dyDescent="0.25">
      <c r="A1" t="s">
        <v>0</v>
      </c>
      <c r="B1" t="s">
        <v>1</v>
      </c>
      <c r="F1" t="s">
        <v>174</v>
      </c>
      <c r="G1" t="s">
        <v>2</v>
      </c>
      <c r="H1" t="s">
        <v>3</v>
      </c>
      <c r="I1" s="1" t="s">
        <v>4</v>
      </c>
      <c r="J1" t="s">
        <v>5</v>
      </c>
      <c r="K1" t="s">
        <v>6</v>
      </c>
      <c r="L1" s="1" t="s">
        <v>7</v>
      </c>
      <c r="M1" t="s">
        <v>175</v>
      </c>
    </row>
    <row r="3" spans="1:13" x14ac:dyDescent="0.25">
      <c r="A3" t="s">
        <v>124</v>
      </c>
      <c r="F3" t="s">
        <v>309</v>
      </c>
      <c r="G3" t="s">
        <v>310</v>
      </c>
      <c r="H3" t="s">
        <v>311</v>
      </c>
      <c r="I3" s="1">
        <v>6300</v>
      </c>
      <c r="J3" s="2">
        <v>44575</v>
      </c>
      <c r="K3" s="2">
        <v>45330</v>
      </c>
      <c r="L3" s="1">
        <f>345+345+345+345+345+525+525+525+525+525+525+525+525+525+525+525+525+525+525+525+525+525+525+525</f>
        <v>11700</v>
      </c>
      <c r="M3" s="1">
        <f>I3-L3</f>
        <v>-5400</v>
      </c>
    </row>
    <row r="4" spans="1:13" x14ac:dyDescent="0.25">
      <c r="A4" t="s">
        <v>153</v>
      </c>
      <c r="F4" t="s">
        <v>309</v>
      </c>
      <c r="G4" t="s">
        <v>312</v>
      </c>
      <c r="H4" t="s">
        <v>313</v>
      </c>
      <c r="I4" s="1">
        <v>200</v>
      </c>
      <c r="J4" s="2">
        <v>44580</v>
      </c>
      <c r="K4" s="2">
        <v>44928</v>
      </c>
      <c r="L4" s="1">
        <f>20.49+49.18+29.99+26.06+85+32.99+85</f>
        <v>328.71000000000004</v>
      </c>
      <c r="M4" s="1">
        <f t="shared" ref="M4:M15" si="0">I4-L4</f>
        <v>-128.71000000000004</v>
      </c>
    </row>
    <row r="5" spans="1:13" x14ac:dyDescent="0.25">
      <c r="A5" t="s">
        <v>328</v>
      </c>
      <c r="F5" t="s">
        <v>309</v>
      </c>
      <c r="G5" t="s">
        <v>314</v>
      </c>
      <c r="H5" t="s">
        <v>315</v>
      </c>
      <c r="I5" s="1">
        <v>7800</v>
      </c>
      <c r="J5" s="2">
        <v>44704</v>
      </c>
      <c r="K5" s="2">
        <v>45471</v>
      </c>
      <c r="L5" s="1">
        <f>1560+343.2+1560+1560+1560+1500</f>
        <v>8083.2</v>
      </c>
      <c r="M5" s="1">
        <f t="shared" si="0"/>
        <v>-283.19999999999982</v>
      </c>
    </row>
    <row r="6" spans="1:13" x14ac:dyDescent="0.25">
      <c r="A6" t="s">
        <v>391</v>
      </c>
      <c r="F6" t="s">
        <v>309</v>
      </c>
      <c r="G6" t="s">
        <v>316</v>
      </c>
      <c r="H6" t="s">
        <v>317</v>
      </c>
      <c r="I6" s="1">
        <v>39900</v>
      </c>
      <c r="J6" s="2">
        <v>44753</v>
      </c>
      <c r="K6" s="2">
        <v>45348</v>
      </c>
      <c r="L6" s="1">
        <f>2247.74-2247.74+1923.2+2019.36+2283.8+2470.11+2241.73+1718.86+2211.68-276.46+276.46+2193.65+2482.13+1905.17+2289.81+2265.77+1790.98+1875.12+2109.51+2578.29+2163.6+1532.55</f>
        <v>38055.320000000007</v>
      </c>
      <c r="M6" s="1">
        <f t="shared" si="0"/>
        <v>1844.679999999993</v>
      </c>
    </row>
    <row r="7" spans="1:13" x14ac:dyDescent="0.25">
      <c r="A7" t="s">
        <v>329</v>
      </c>
      <c r="F7" t="s">
        <v>309</v>
      </c>
      <c r="G7" t="s">
        <v>318</v>
      </c>
      <c r="H7" t="s">
        <v>319</v>
      </c>
      <c r="I7" s="1">
        <v>3000</v>
      </c>
      <c r="J7" s="2">
        <v>44802</v>
      </c>
      <c r="K7" s="2">
        <v>45029</v>
      </c>
      <c r="L7" s="1">
        <v>2302</v>
      </c>
      <c r="M7" s="1">
        <f t="shared" si="0"/>
        <v>698</v>
      </c>
    </row>
    <row r="8" spans="1:13" x14ac:dyDescent="0.25">
      <c r="A8" t="s">
        <v>17</v>
      </c>
      <c r="F8" t="s">
        <v>309</v>
      </c>
      <c r="G8" t="s">
        <v>320</v>
      </c>
      <c r="H8" t="s">
        <v>349</v>
      </c>
      <c r="I8" s="1">
        <v>6000</v>
      </c>
      <c r="J8" s="2">
        <v>44802</v>
      </c>
      <c r="K8" s="2">
        <v>45310</v>
      </c>
      <c r="L8" s="1">
        <f>444.07+448.14+399.28+407.4+407.4+427.77+407.4+468.51+366.66+448.14+427.77+427.77+435.93+427.77+448.14+427.77+366.66</f>
        <v>7186.5800000000017</v>
      </c>
      <c r="M8" s="1">
        <f t="shared" si="0"/>
        <v>-1186.5800000000017</v>
      </c>
    </row>
    <row r="9" spans="1:13" x14ac:dyDescent="0.25">
      <c r="A9" t="s">
        <v>330</v>
      </c>
      <c r="F9" t="s">
        <v>309</v>
      </c>
      <c r="G9" t="s">
        <v>321</v>
      </c>
      <c r="H9" t="s">
        <v>350</v>
      </c>
      <c r="I9" s="1">
        <v>13765</v>
      </c>
      <c r="J9" s="2">
        <v>44802</v>
      </c>
      <c r="K9" s="2">
        <v>45310</v>
      </c>
      <c r="L9" s="1">
        <f>1034.47+1001.1+1034.47+1001.1+1034.47+1034.47+934.36+1034.47+1001.1+1034.47+1001.1+1034.47+1034.47+1001.1+1034.47+1001.1+1034.47</f>
        <v>17285.66</v>
      </c>
      <c r="M9" s="1">
        <f t="shared" si="0"/>
        <v>-3520.66</v>
      </c>
    </row>
    <row r="10" spans="1:13" x14ac:dyDescent="0.25">
      <c r="A10" t="s">
        <v>392</v>
      </c>
      <c r="F10" t="s">
        <v>309</v>
      </c>
      <c r="G10" t="s">
        <v>322</v>
      </c>
      <c r="H10" t="s">
        <v>351</v>
      </c>
      <c r="I10" s="1">
        <v>5100</v>
      </c>
      <c r="J10" s="2">
        <v>44802</v>
      </c>
      <c r="K10" s="2">
        <v>45330</v>
      </c>
      <c r="L10" s="1">
        <f>392.92+392.92+375.06+375.06+357.2+357.2+357.2+410.78+303.62+392.92+375.06+375.06+375.06+375.06+375.06+367.92+307.19</f>
        <v>6265.2900000000009</v>
      </c>
      <c r="M10" s="1">
        <f t="shared" si="0"/>
        <v>-1165.2900000000009</v>
      </c>
    </row>
    <row r="11" spans="1:13" x14ac:dyDescent="0.25">
      <c r="A11" t="s">
        <v>331</v>
      </c>
      <c r="F11" t="s">
        <v>309</v>
      </c>
      <c r="G11" t="s">
        <v>323</v>
      </c>
      <c r="H11" t="s">
        <v>352</v>
      </c>
      <c r="I11" s="1">
        <v>17400</v>
      </c>
      <c r="J11" s="2">
        <v>44802</v>
      </c>
      <c r="K11" s="2">
        <v>45412</v>
      </c>
      <c r="L11" s="1">
        <f>1309.09+1266.86+1309.09+1266.86+1309.09+1309+1182.4+1309+1266.86+1309.09+1266.86+1309.09+1309.09+1266.86+1309.09+1266.86+1309.09+1309.09+1224.63</f>
        <v>24408.000000000004</v>
      </c>
      <c r="M11" s="1">
        <f t="shared" si="0"/>
        <v>-7008.0000000000036</v>
      </c>
    </row>
    <row r="12" spans="1:13" x14ac:dyDescent="0.25">
      <c r="A12" t="s">
        <v>332</v>
      </c>
      <c r="F12" t="s">
        <v>309</v>
      </c>
      <c r="G12" t="s">
        <v>324</v>
      </c>
      <c r="H12" t="s">
        <v>353</v>
      </c>
      <c r="I12" s="1">
        <v>25000</v>
      </c>
      <c r="J12" s="2">
        <v>44802</v>
      </c>
      <c r="K12" s="2">
        <v>45330</v>
      </c>
      <c r="L12" s="1">
        <f>1149.89+1917.46+1882.8+1816.33+1377.28+1838.6+1850.54+1903.03+1313.25+1992.64+1834.75+1791.28+1745.02+1515.74+2198.23+1291.74+2568.54+156.8+2233.26+134.4+2135.98+1509.53+112</f>
        <v>36269.090000000011</v>
      </c>
      <c r="M12" s="1">
        <f t="shared" si="0"/>
        <v>-11269.090000000011</v>
      </c>
    </row>
    <row r="13" spans="1:13" x14ac:dyDescent="0.25">
      <c r="A13" t="s">
        <v>333</v>
      </c>
      <c r="F13" t="s">
        <v>309</v>
      </c>
      <c r="G13" t="s">
        <v>325</v>
      </c>
      <c r="H13" t="s">
        <v>352</v>
      </c>
      <c r="I13" s="1">
        <v>4900</v>
      </c>
      <c r="J13" s="2">
        <v>44802</v>
      </c>
      <c r="K13" s="2">
        <v>45307</v>
      </c>
      <c r="L13" s="1">
        <f>192.2+377.52+332.91+308.88+291.72+339.77+391.25+271.13+377.52-356.93+356.93+154.44+343.2+370.66+350.07+308.88</f>
        <v>4410.1499999999996</v>
      </c>
      <c r="M13" s="1">
        <f t="shared" si="0"/>
        <v>489.85000000000036</v>
      </c>
    </row>
    <row r="14" spans="1:13" x14ac:dyDescent="0.25">
      <c r="A14" t="s">
        <v>334</v>
      </c>
      <c r="F14" t="s">
        <v>309</v>
      </c>
      <c r="G14" t="s">
        <v>326</v>
      </c>
      <c r="H14" t="s">
        <v>354</v>
      </c>
      <c r="I14" s="1">
        <v>30000</v>
      </c>
      <c r="J14" s="2">
        <v>44806</v>
      </c>
      <c r="K14" s="2">
        <v>45330</v>
      </c>
      <c r="L14" s="1">
        <f>1560.45+1560.45+1560.45+1560.45+1639.59+1639.59+1639.59+1639.59+1639.59+1639.59+1311.68+1311.68+1311.68+1311.68+1311.68+1311.68+1093.06</f>
        <v>25042.480000000003</v>
      </c>
      <c r="M14" s="1">
        <f t="shared" si="0"/>
        <v>4957.5199999999968</v>
      </c>
    </row>
    <row r="15" spans="1:13" x14ac:dyDescent="0.25">
      <c r="A15" t="s">
        <v>334</v>
      </c>
      <c r="F15" t="s">
        <v>309</v>
      </c>
      <c r="G15" t="s">
        <v>327</v>
      </c>
      <c r="H15" t="s">
        <v>355</v>
      </c>
      <c r="I15" s="1">
        <v>20000</v>
      </c>
      <c r="J15" s="2">
        <v>44806</v>
      </c>
      <c r="K15" s="2">
        <v>45330</v>
      </c>
      <c r="L15" s="1">
        <f>1112.4+1112.4+1112.4+1168.82+1112.4+1168.82+1168.82+1168.82+1168.82+1168.82+1168.82+1168.82+1168.82+1168.82+1168.82+1387.43+1387.43</f>
        <v>20081.48</v>
      </c>
      <c r="M15" s="1">
        <f t="shared" si="0"/>
        <v>-81.479999999999563</v>
      </c>
    </row>
    <row r="16" spans="1:13" x14ac:dyDescent="0.25">
      <c r="L16" s="1"/>
      <c r="M1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5" sqref="A5"/>
    </sheetView>
  </sheetViews>
  <sheetFormatPr defaultRowHeight="15" x14ac:dyDescent="0.25"/>
  <cols>
    <col min="7" max="7" width="15.28515625" customWidth="1"/>
    <col min="8" max="8" width="17" customWidth="1"/>
    <col min="9" max="9" width="12.28515625" customWidth="1"/>
    <col min="10" max="10" width="14.85546875" customWidth="1"/>
    <col min="11" max="11" width="12.140625" customWidth="1"/>
    <col min="12" max="12" width="16.140625" customWidth="1"/>
    <col min="13" max="13" width="12.5703125" customWidth="1"/>
  </cols>
  <sheetData>
    <row r="1" spans="1:13" x14ac:dyDescent="0.25">
      <c r="A1" t="s">
        <v>0</v>
      </c>
      <c r="F1" t="s">
        <v>174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175</v>
      </c>
    </row>
    <row r="3" spans="1:13" x14ac:dyDescent="0.25">
      <c r="A3" t="s">
        <v>173</v>
      </c>
      <c r="F3" t="s">
        <v>309</v>
      </c>
      <c r="G3" t="s">
        <v>335</v>
      </c>
      <c r="H3" t="s">
        <v>336</v>
      </c>
      <c r="I3" s="7">
        <v>10000</v>
      </c>
      <c r="J3" s="2">
        <v>43862</v>
      </c>
      <c r="K3" s="2">
        <v>45646</v>
      </c>
      <c r="L3" s="7">
        <v>11255.01</v>
      </c>
      <c r="M3" s="7">
        <f>I3-L3</f>
        <v>-1255.0100000000002</v>
      </c>
    </row>
    <row r="4" spans="1:13" x14ac:dyDescent="0.25">
      <c r="A4" t="s">
        <v>393</v>
      </c>
      <c r="F4" t="s">
        <v>309</v>
      </c>
      <c r="G4" t="s">
        <v>337</v>
      </c>
      <c r="H4" t="s">
        <v>338</v>
      </c>
      <c r="I4" s="6">
        <v>5000</v>
      </c>
      <c r="J4" s="2">
        <v>44243</v>
      </c>
      <c r="K4" s="2">
        <v>45412</v>
      </c>
      <c r="L4" s="7">
        <v>5943.14</v>
      </c>
      <c r="M4" s="7">
        <f t="shared" ref="M4:M6" si="0">I4-L4</f>
        <v>-943.14000000000033</v>
      </c>
    </row>
    <row r="5" spans="1:13" x14ac:dyDescent="0.25">
      <c r="A5" t="s">
        <v>211</v>
      </c>
      <c r="F5" t="s">
        <v>309</v>
      </c>
      <c r="G5" t="s">
        <v>339</v>
      </c>
      <c r="H5" t="s">
        <v>347</v>
      </c>
      <c r="I5" s="6">
        <v>20000</v>
      </c>
      <c r="J5" s="2">
        <v>44277</v>
      </c>
      <c r="K5" s="2">
        <v>45330</v>
      </c>
      <c r="L5" s="7">
        <v>33421.599999999999</v>
      </c>
      <c r="M5" s="7">
        <f t="shared" si="0"/>
        <v>-13421.599999999999</v>
      </c>
    </row>
    <row r="6" spans="1:13" x14ac:dyDescent="0.25">
      <c r="A6" t="s">
        <v>211</v>
      </c>
      <c r="F6" t="s">
        <v>309</v>
      </c>
      <c r="G6" t="s">
        <v>340</v>
      </c>
      <c r="H6" t="s">
        <v>348</v>
      </c>
      <c r="I6" s="6">
        <v>29000</v>
      </c>
      <c r="J6" s="2">
        <v>44277</v>
      </c>
      <c r="K6" s="2">
        <v>45330</v>
      </c>
      <c r="L6" s="7">
        <v>6852.06</v>
      </c>
      <c r="M6" s="7">
        <f t="shared" si="0"/>
        <v>22147.94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workbookViewId="0">
      <selection activeCell="V3" sqref="V3:X4"/>
    </sheetView>
  </sheetViews>
  <sheetFormatPr defaultRowHeight="15" x14ac:dyDescent="0.25"/>
  <cols>
    <col min="7" max="7" width="12.28515625" customWidth="1"/>
    <col min="8" max="8" width="16.28515625" customWidth="1"/>
    <col min="9" max="9" width="12.85546875" customWidth="1"/>
    <col min="10" max="10" width="13.28515625" customWidth="1"/>
    <col min="11" max="13" width="12" customWidth="1"/>
    <col min="17" max="17" width="12.42578125" customWidth="1"/>
    <col min="18" max="18" width="14.28515625" customWidth="1"/>
  </cols>
  <sheetData>
    <row r="1" spans="1:18" x14ac:dyDescent="0.25">
      <c r="A1" t="s">
        <v>0</v>
      </c>
      <c r="F1" t="s">
        <v>174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175</v>
      </c>
    </row>
    <row r="3" spans="1:18" x14ac:dyDescent="0.25">
      <c r="A3" t="s">
        <v>341</v>
      </c>
      <c r="F3" t="s">
        <v>346</v>
      </c>
      <c r="G3" t="s">
        <v>342</v>
      </c>
      <c r="H3" t="s">
        <v>343</v>
      </c>
      <c r="I3" s="7">
        <v>30000</v>
      </c>
      <c r="J3" s="2">
        <v>44195</v>
      </c>
      <c r="K3" s="2">
        <v>45527</v>
      </c>
      <c r="L3" s="4">
        <v>35413.97</v>
      </c>
      <c r="M3" s="7">
        <f>I3-L3</f>
        <v>-5413.9700000000012</v>
      </c>
      <c r="P3" s="3"/>
      <c r="Q3" s="4"/>
      <c r="R3" s="7"/>
    </row>
    <row r="4" spans="1:18" x14ac:dyDescent="0.25">
      <c r="A4" t="s">
        <v>344</v>
      </c>
      <c r="F4" t="s">
        <v>346</v>
      </c>
      <c r="G4" t="s">
        <v>345</v>
      </c>
      <c r="H4" t="s">
        <v>343</v>
      </c>
      <c r="I4" s="7">
        <v>20000</v>
      </c>
      <c r="J4" s="2">
        <v>44195</v>
      </c>
      <c r="K4" s="2">
        <v>45506</v>
      </c>
      <c r="L4" s="4">
        <v>22067.13</v>
      </c>
      <c r="M4" s="7">
        <f>I4-L4</f>
        <v>-2067.130000000001</v>
      </c>
      <c r="Q4" s="4"/>
      <c r="R4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Rinaldi</dc:creator>
  <cp:lastModifiedBy>Giada Brambilla</cp:lastModifiedBy>
  <dcterms:created xsi:type="dcterms:W3CDTF">2025-03-19T12:08:09Z</dcterms:created>
  <dcterms:modified xsi:type="dcterms:W3CDTF">2025-03-21T08:55:43Z</dcterms:modified>
</cp:coreProperties>
</file>